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3/"/>
    </mc:Choice>
  </mc:AlternateContent>
  <xr:revisionPtr revIDLastSave="24" documentId="8_{54E655DC-FAEB-45A2-A099-3556516BAF73}" xr6:coauthVersionLast="47" xr6:coauthVersionMax="47" xr10:uidLastSave="{E89DA130-7E26-4F4C-93C3-5A1338C276C5}"/>
  <bookViews>
    <workbookView xWindow="-120" yWindow="-120" windowWidth="29040" windowHeight="15720" xr2:uid="{472A165D-D6FE-48C5-9263-466F85D0C448}"/>
  </bookViews>
  <sheets>
    <sheet name="Existencia" sheetId="1" r:id="rId1"/>
  </sheets>
  <externalReferences>
    <externalReference r:id="rId2"/>
    <externalReference r:id="rId3"/>
    <externalReference r:id="rId4"/>
  </externalReferences>
  <definedNames>
    <definedName name="_xlnm.Print_Area" localSheetId="0">Existencia!$A$1:$K$290</definedName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6" i="1" l="1"/>
  <c r="H285" i="1"/>
  <c r="G285" i="1"/>
  <c r="E285" i="1"/>
  <c r="H284" i="1"/>
  <c r="G284" i="1"/>
  <c r="E284" i="1"/>
  <c r="H283" i="1"/>
  <c r="G283" i="1"/>
  <c r="E283" i="1"/>
  <c r="K282" i="1"/>
  <c r="H282" i="1"/>
  <c r="G282" i="1"/>
  <c r="E282" i="1"/>
  <c r="K281" i="1"/>
  <c r="J281" i="1"/>
  <c r="H281" i="1"/>
  <c r="G281" i="1"/>
  <c r="E281" i="1"/>
  <c r="H280" i="1"/>
  <c r="G280" i="1"/>
  <c r="E280" i="1"/>
  <c r="H279" i="1"/>
  <c r="G279" i="1"/>
  <c r="E279" i="1"/>
  <c r="J279" i="1" s="1"/>
  <c r="K279" i="1" s="1"/>
  <c r="H278" i="1"/>
  <c r="G278" i="1"/>
  <c r="E278" i="1"/>
  <c r="J277" i="1"/>
  <c r="H277" i="1"/>
  <c r="G277" i="1"/>
  <c r="E277" i="1"/>
  <c r="K277" i="1" s="1"/>
  <c r="K276" i="1"/>
  <c r="H276" i="1"/>
  <c r="G276" i="1"/>
  <c r="E276" i="1"/>
  <c r="H275" i="1"/>
  <c r="G275" i="1"/>
  <c r="E275" i="1"/>
  <c r="K275" i="1" s="1"/>
  <c r="J274" i="1"/>
  <c r="K274" i="1" s="1"/>
  <c r="H274" i="1"/>
  <c r="G274" i="1"/>
  <c r="E274" i="1"/>
  <c r="H273" i="1"/>
  <c r="G273" i="1"/>
  <c r="E273" i="1"/>
  <c r="J273" i="1" s="1"/>
  <c r="H272" i="1"/>
  <c r="G272" i="1"/>
  <c r="E272" i="1"/>
  <c r="K272" i="1" s="1"/>
  <c r="J271" i="1"/>
  <c r="K271" i="1" s="1"/>
  <c r="H271" i="1"/>
  <c r="G271" i="1"/>
  <c r="E271" i="1"/>
  <c r="H270" i="1"/>
  <c r="G270" i="1"/>
  <c r="E270" i="1"/>
  <c r="J269" i="1"/>
  <c r="K269" i="1" s="1"/>
  <c r="H269" i="1"/>
  <c r="G269" i="1"/>
  <c r="E269" i="1"/>
  <c r="H268" i="1"/>
  <c r="G268" i="1"/>
  <c r="E268" i="1"/>
  <c r="K268" i="1" s="1"/>
  <c r="H267" i="1"/>
  <c r="G267" i="1"/>
  <c r="E267" i="1"/>
  <c r="J266" i="1"/>
  <c r="K266" i="1" s="1"/>
  <c r="H266" i="1"/>
  <c r="G266" i="1"/>
  <c r="E266" i="1"/>
  <c r="H265" i="1"/>
  <c r="G265" i="1"/>
  <c r="E265" i="1"/>
  <c r="K265" i="1" s="1"/>
  <c r="K264" i="1"/>
  <c r="H264" i="1"/>
  <c r="G264" i="1"/>
  <c r="E264" i="1"/>
  <c r="K263" i="1"/>
  <c r="J263" i="1"/>
  <c r="H263" i="1"/>
  <c r="G263" i="1"/>
  <c r="E263" i="1"/>
  <c r="J262" i="1"/>
  <c r="H262" i="1"/>
  <c r="G262" i="1"/>
  <c r="E262" i="1"/>
  <c r="K262" i="1" s="1"/>
  <c r="H261" i="1"/>
  <c r="G261" i="1"/>
  <c r="E261" i="1"/>
  <c r="J261" i="1" s="1"/>
  <c r="K261" i="1" s="1"/>
  <c r="H260" i="1"/>
  <c r="G260" i="1"/>
  <c r="E260" i="1"/>
  <c r="J259" i="1"/>
  <c r="K259" i="1" s="1"/>
  <c r="H259" i="1"/>
  <c r="G259" i="1"/>
  <c r="E259" i="1"/>
  <c r="H258" i="1"/>
  <c r="G258" i="1"/>
  <c r="E258" i="1"/>
  <c r="H257" i="1"/>
  <c r="G257" i="1"/>
  <c r="E257" i="1"/>
  <c r="H256" i="1"/>
  <c r="G256" i="1"/>
  <c r="E256" i="1"/>
  <c r="H255" i="1"/>
  <c r="G255" i="1"/>
  <c r="E255" i="1"/>
  <c r="J254" i="1"/>
  <c r="K254" i="1" s="1"/>
  <c r="H254" i="1"/>
  <c r="G254" i="1"/>
  <c r="E254" i="1"/>
  <c r="J253" i="1"/>
  <c r="H253" i="1"/>
  <c r="G253" i="1"/>
  <c r="E253" i="1"/>
  <c r="K253" i="1" s="1"/>
  <c r="K252" i="1"/>
  <c r="J252" i="1"/>
  <c r="H252" i="1"/>
  <c r="G252" i="1"/>
  <c r="E252" i="1"/>
  <c r="H251" i="1"/>
  <c r="G251" i="1"/>
  <c r="E251" i="1"/>
  <c r="J251" i="1" s="1"/>
  <c r="K251" i="1" s="1"/>
  <c r="J250" i="1"/>
  <c r="H250" i="1"/>
  <c r="G250" i="1"/>
  <c r="E250" i="1"/>
  <c r="K250" i="1" s="1"/>
  <c r="H249" i="1"/>
  <c r="G249" i="1"/>
  <c r="E249" i="1"/>
  <c r="J249" i="1" s="1"/>
  <c r="K249" i="1" s="1"/>
  <c r="H248" i="1"/>
  <c r="G248" i="1"/>
  <c r="E248" i="1"/>
  <c r="J248" i="1" s="1"/>
  <c r="K248" i="1" s="1"/>
  <c r="H247" i="1"/>
  <c r="G247" i="1"/>
  <c r="E247" i="1"/>
  <c r="H246" i="1"/>
  <c r="G246" i="1"/>
  <c r="E246" i="1"/>
  <c r="H245" i="1"/>
  <c r="G245" i="1"/>
  <c r="E245" i="1"/>
  <c r="H244" i="1"/>
  <c r="G244" i="1"/>
  <c r="E244" i="1"/>
  <c r="H243" i="1"/>
  <c r="G243" i="1"/>
  <c r="E243" i="1"/>
  <c r="J242" i="1"/>
  <c r="K242" i="1" s="1"/>
  <c r="H242" i="1"/>
  <c r="G242" i="1"/>
  <c r="E242" i="1"/>
  <c r="J241" i="1"/>
  <c r="H241" i="1"/>
  <c r="G241" i="1"/>
  <c r="E241" i="1"/>
  <c r="K241" i="1" s="1"/>
  <c r="K240" i="1"/>
  <c r="J240" i="1"/>
  <c r="H240" i="1"/>
  <c r="G240" i="1"/>
  <c r="E240" i="1"/>
  <c r="H239" i="1"/>
  <c r="G239" i="1"/>
  <c r="E239" i="1"/>
  <c r="J239" i="1" s="1"/>
  <c r="K239" i="1" s="1"/>
  <c r="J238" i="1"/>
  <c r="H238" i="1"/>
  <c r="G238" i="1"/>
  <c r="E238" i="1"/>
  <c r="K238" i="1" s="1"/>
  <c r="K237" i="1"/>
  <c r="J237" i="1"/>
  <c r="H237" i="1"/>
  <c r="G237" i="1"/>
  <c r="J236" i="1"/>
  <c r="H236" i="1"/>
  <c r="G236" i="1"/>
  <c r="E236" i="1"/>
  <c r="K236" i="1" s="1"/>
  <c r="K235" i="1"/>
  <c r="J235" i="1"/>
  <c r="H235" i="1"/>
  <c r="G235" i="1"/>
  <c r="E235" i="1"/>
  <c r="H234" i="1"/>
  <c r="G234" i="1"/>
  <c r="E234" i="1"/>
  <c r="J234" i="1" s="1"/>
  <c r="K234" i="1" s="1"/>
  <c r="J233" i="1"/>
  <c r="H233" i="1"/>
  <c r="G233" i="1"/>
  <c r="E233" i="1"/>
  <c r="K233" i="1" s="1"/>
  <c r="H232" i="1"/>
  <c r="G232" i="1"/>
  <c r="E232" i="1"/>
  <c r="J232" i="1" s="1"/>
  <c r="K232" i="1" s="1"/>
  <c r="H231" i="1"/>
  <c r="G231" i="1"/>
  <c r="E231" i="1"/>
  <c r="J231" i="1" s="1"/>
  <c r="K231" i="1" s="1"/>
  <c r="H230" i="1"/>
  <c r="G230" i="1"/>
  <c r="E230" i="1"/>
  <c r="J229" i="1"/>
  <c r="H229" i="1"/>
  <c r="G229" i="1"/>
  <c r="E229" i="1"/>
  <c r="K229" i="1" s="1"/>
  <c r="H228" i="1"/>
  <c r="G228" i="1"/>
  <c r="E228" i="1"/>
  <c r="H227" i="1"/>
  <c r="G227" i="1"/>
  <c r="E227" i="1"/>
  <c r="H226" i="1"/>
  <c r="G226" i="1"/>
  <c r="E226" i="1"/>
  <c r="J225" i="1"/>
  <c r="K225" i="1" s="1"/>
  <c r="H225" i="1"/>
  <c r="G225" i="1"/>
  <c r="E225" i="1"/>
  <c r="J224" i="1"/>
  <c r="H224" i="1"/>
  <c r="G224" i="1"/>
  <c r="E224" i="1"/>
  <c r="K224" i="1" s="1"/>
  <c r="K223" i="1"/>
  <c r="J223" i="1"/>
  <c r="H223" i="1"/>
  <c r="G223" i="1"/>
  <c r="E223" i="1"/>
  <c r="H222" i="1"/>
  <c r="G222" i="1"/>
  <c r="E222" i="1"/>
  <c r="J222" i="1" s="1"/>
  <c r="K222" i="1" s="1"/>
  <c r="J221" i="1"/>
  <c r="H221" i="1"/>
  <c r="G221" i="1"/>
  <c r="E221" i="1"/>
  <c r="K221" i="1" s="1"/>
  <c r="H220" i="1"/>
  <c r="G220" i="1"/>
  <c r="E220" i="1"/>
  <c r="J220" i="1" s="1"/>
  <c r="K220" i="1" s="1"/>
  <c r="H219" i="1"/>
  <c r="G219" i="1"/>
  <c r="E219" i="1"/>
  <c r="J219" i="1" s="1"/>
  <c r="K219" i="1" s="1"/>
  <c r="H218" i="1"/>
  <c r="G218" i="1"/>
  <c r="E218" i="1"/>
  <c r="J217" i="1"/>
  <c r="H217" i="1"/>
  <c r="G217" i="1"/>
  <c r="E217" i="1"/>
  <c r="K217" i="1" s="1"/>
  <c r="H216" i="1"/>
  <c r="G216" i="1"/>
  <c r="E216" i="1"/>
  <c r="H215" i="1"/>
  <c r="G215" i="1"/>
  <c r="E215" i="1"/>
  <c r="H214" i="1"/>
  <c r="G214" i="1"/>
  <c r="E214" i="1"/>
  <c r="J213" i="1"/>
  <c r="K213" i="1" s="1"/>
  <c r="H213" i="1"/>
  <c r="G213" i="1"/>
  <c r="E213" i="1"/>
  <c r="J212" i="1"/>
  <c r="H212" i="1"/>
  <c r="G212" i="1"/>
  <c r="E212" i="1"/>
  <c r="K212" i="1" s="1"/>
  <c r="K211" i="1"/>
  <c r="J211" i="1"/>
  <c r="H211" i="1"/>
  <c r="G211" i="1"/>
  <c r="E211" i="1"/>
  <c r="H210" i="1"/>
  <c r="G210" i="1"/>
  <c r="E210" i="1"/>
  <c r="J210" i="1" s="1"/>
  <c r="K210" i="1" s="1"/>
  <c r="J209" i="1"/>
  <c r="H209" i="1"/>
  <c r="G209" i="1"/>
  <c r="E209" i="1"/>
  <c r="K209" i="1" s="1"/>
  <c r="H208" i="1"/>
  <c r="G208" i="1"/>
  <c r="E208" i="1"/>
  <c r="J208" i="1" s="1"/>
  <c r="K208" i="1" s="1"/>
  <c r="H207" i="1"/>
  <c r="G207" i="1"/>
  <c r="E207" i="1"/>
  <c r="J207" i="1" s="1"/>
  <c r="K207" i="1" s="1"/>
  <c r="H206" i="1"/>
  <c r="G206" i="1"/>
  <c r="E206" i="1"/>
  <c r="J205" i="1"/>
  <c r="H205" i="1"/>
  <c r="G205" i="1"/>
  <c r="E205" i="1"/>
  <c r="K205" i="1" s="1"/>
  <c r="H204" i="1"/>
  <c r="G204" i="1"/>
  <c r="E204" i="1"/>
  <c r="H203" i="1"/>
  <c r="G203" i="1"/>
  <c r="E203" i="1"/>
  <c r="H202" i="1"/>
  <c r="G202" i="1"/>
  <c r="E202" i="1"/>
  <c r="J201" i="1"/>
  <c r="K201" i="1" s="1"/>
  <c r="H201" i="1"/>
  <c r="G201" i="1"/>
  <c r="E201" i="1"/>
  <c r="J200" i="1"/>
  <c r="H200" i="1"/>
  <c r="G200" i="1"/>
  <c r="E200" i="1"/>
  <c r="K200" i="1" s="1"/>
  <c r="K199" i="1"/>
  <c r="J199" i="1"/>
  <c r="H199" i="1"/>
  <c r="G199" i="1"/>
  <c r="E199" i="1"/>
  <c r="H198" i="1"/>
  <c r="G198" i="1"/>
  <c r="E198" i="1"/>
  <c r="J198" i="1" s="1"/>
  <c r="K198" i="1" s="1"/>
  <c r="J197" i="1"/>
  <c r="H197" i="1"/>
  <c r="G197" i="1"/>
  <c r="E197" i="1"/>
  <c r="K197" i="1" s="1"/>
  <c r="H196" i="1"/>
  <c r="G196" i="1"/>
  <c r="E196" i="1"/>
  <c r="J196" i="1" s="1"/>
  <c r="K196" i="1" s="1"/>
  <c r="H195" i="1"/>
  <c r="G195" i="1"/>
  <c r="E195" i="1"/>
  <c r="J195" i="1" s="1"/>
  <c r="K195" i="1" s="1"/>
  <c r="H194" i="1"/>
  <c r="G194" i="1"/>
  <c r="E194" i="1"/>
  <c r="J194" i="1" s="1"/>
  <c r="K194" i="1" s="1"/>
  <c r="J193" i="1"/>
  <c r="H193" i="1"/>
  <c r="G193" i="1"/>
  <c r="E193" i="1"/>
  <c r="K193" i="1" s="1"/>
  <c r="H192" i="1"/>
  <c r="G192" i="1"/>
  <c r="E192" i="1"/>
  <c r="H191" i="1"/>
  <c r="G191" i="1"/>
  <c r="E191" i="1"/>
  <c r="H190" i="1"/>
  <c r="G190" i="1"/>
  <c r="E190" i="1"/>
  <c r="J189" i="1"/>
  <c r="K189" i="1" s="1"/>
  <c r="H189" i="1"/>
  <c r="G189" i="1"/>
  <c r="E189" i="1"/>
  <c r="J188" i="1"/>
  <c r="H188" i="1"/>
  <c r="G188" i="1"/>
  <c r="E188" i="1"/>
  <c r="K188" i="1" s="1"/>
  <c r="K187" i="1"/>
  <c r="J187" i="1"/>
  <c r="H187" i="1"/>
  <c r="G187" i="1"/>
  <c r="E187" i="1"/>
  <c r="H186" i="1"/>
  <c r="G186" i="1"/>
  <c r="E186" i="1"/>
  <c r="J186" i="1" s="1"/>
  <c r="K186" i="1" s="1"/>
  <c r="J185" i="1"/>
  <c r="H185" i="1"/>
  <c r="G185" i="1"/>
  <c r="E185" i="1"/>
  <c r="K185" i="1" s="1"/>
  <c r="H184" i="1"/>
  <c r="G184" i="1"/>
  <c r="E184" i="1"/>
  <c r="J184" i="1" s="1"/>
  <c r="K184" i="1" s="1"/>
  <c r="H183" i="1"/>
  <c r="G183" i="1"/>
  <c r="E183" i="1"/>
  <c r="J183" i="1" s="1"/>
  <c r="K183" i="1" s="1"/>
  <c r="H182" i="1"/>
  <c r="G182" i="1"/>
  <c r="E182" i="1"/>
  <c r="J182" i="1" s="1"/>
  <c r="K182" i="1" s="1"/>
  <c r="H181" i="1"/>
  <c r="G181" i="1"/>
  <c r="E181" i="1"/>
  <c r="H180" i="1"/>
  <c r="G180" i="1"/>
  <c r="E180" i="1"/>
  <c r="H179" i="1"/>
  <c r="G179" i="1"/>
  <c r="E179" i="1"/>
  <c r="H178" i="1"/>
  <c r="G178" i="1"/>
  <c r="E178" i="1"/>
  <c r="J177" i="1"/>
  <c r="K177" i="1" s="1"/>
  <c r="H177" i="1"/>
  <c r="G177" i="1"/>
  <c r="E177" i="1"/>
  <c r="J176" i="1"/>
  <c r="H176" i="1"/>
  <c r="G176" i="1"/>
  <c r="E176" i="1"/>
  <c r="K176" i="1" s="1"/>
  <c r="K175" i="1"/>
  <c r="J175" i="1"/>
  <c r="H175" i="1"/>
  <c r="G175" i="1"/>
  <c r="E175" i="1"/>
  <c r="H174" i="1"/>
  <c r="G174" i="1"/>
  <c r="E174" i="1"/>
  <c r="J174" i="1" s="1"/>
  <c r="K174" i="1" s="1"/>
  <c r="J173" i="1"/>
  <c r="H173" i="1"/>
  <c r="G173" i="1"/>
  <c r="E173" i="1"/>
  <c r="K173" i="1" s="1"/>
  <c r="H172" i="1"/>
  <c r="G172" i="1"/>
  <c r="E172" i="1"/>
  <c r="J172" i="1" s="1"/>
  <c r="K172" i="1" s="1"/>
  <c r="H171" i="1"/>
  <c r="G171" i="1"/>
  <c r="E171" i="1"/>
  <c r="J171" i="1" s="1"/>
  <c r="K171" i="1" s="1"/>
  <c r="H170" i="1"/>
  <c r="G170" i="1"/>
  <c r="E170" i="1"/>
  <c r="J170" i="1" s="1"/>
  <c r="K170" i="1" s="1"/>
  <c r="H169" i="1"/>
  <c r="G169" i="1"/>
  <c r="E169" i="1"/>
  <c r="H168" i="1"/>
  <c r="G168" i="1"/>
  <c r="E168" i="1"/>
  <c r="H167" i="1"/>
  <c r="G167" i="1"/>
  <c r="E167" i="1"/>
  <c r="H166" i="1"/>
  <c r="G166" i="1"/>
  <c r="E166" i="1"/>
  <c r="J165" i="1"/>
  <c r="K165" i="1" s="1"/>
  <c r="H165" i="1"/>
  <c r="G165" i="1"/>
  <c r="E165" i="1"/>
  <c r="J164" i="1"/>
  <c r="H164" i="1"/>
  <c r="G164" i="1"/>
  <c r="E164" i="1"/>
  <c r="K164" i="1" s="1"/>
  <c r="K163" i="1"/>
  <c r="J163" i="1"/>
  <c r="H163" i="1"/>
  <c r="G163" i="1"/>
  <c r="E163" i="1"/>
  <c r="H162" i="1"/>
  <c r="G162" i="1"/>
  <c r="E162" i="1"/>
  <c r="K162" i="1" s="1"/>
  <c r="H161" i="1"/>
  <c r="G161" i="1"/>
  <c r="E161" i="1"/>
  <c r="K161" i="1" s="1"/>
  <c r="K160" i="1"/>
  <c r="H160" i="1"/>
  <c r="G160" i="1"/>
  <c r="E160" i="1"/>
  <c r="H159" i="1"/>
  <c r="G159" i="1"/>
  <c r="E159" i="1"/>
  <c r="J159" i="1" s="1"/>
  <c r="K159" i="1" s="1"/>
  <c r="J158" i="1"/>
  <c r="H158" i="1"/>
  <c r="G158" i="1"/>
  <c r="E158" i="1"/>
  <c r="K158" i="1" s="1"/>
  <c r="H157" i="1"/>
  <c r="G157" i="1"/>
  <c r="E157" i="1"/>
  <c r="J157" i="1" s="1"/>
  <c r="K157" i="1" s="1"/>
  <c r="H156" i="1"/>
  <c r="G156" i="1"/>
  <c r="E156" i="1"/>
  <c r="J156" i="1" s="1"/>
  <c r="K156" i="1" s="1"/>
  <c r="K155" i="1"/>
  <c r="J155" i="1"/>
  <c r="H155" i="1"/>
  <c r="G155" i="1"/>
  <c r="E155" i="1"/>
  <c r="H154" i="1"/>
  <c r="G154" i="1"/>
  <c r="E154" i="1"/>
  <c r="H153" i="1"/>
  <c r="G153" i="1"/>
  <c r="E153" i="1"/>
  <c r="H152" i="1"/>
  <c r="G152" i="1"/>
  <c r="E152" i="1"/>
  <c r="H151" i="1"/>
  <c r="G151" i="1"/>
  <c r="E151" i="1"/>
  <c r="K151" i="1" s="1"/>
  <c r="J150" i="1"/>
  <c r="K150" i="1" s="1"/>
  <c r="H150" i="1"/>
  <c r="G150" i="1"/>
  <c r="E150" i="1"/>
  <c r="J149" i="1"/>
  <c r="H149" i="1"/>
  <c r="G149" i="1"/>
  <c r="E149" i="1"/>
  <c r="K149" i="1" s="1"/>
  <c r="H148" i="1"/>
  <c r="G148" i="1"/>
  <c r="E148" i="1"/>
  <c r="H147" i="1"/>
  <c r="G147" i="1"/>
  <c r="E147" i="1"/>
  <c r="H146" i="1"/>
  <c r="G146" i="1"/>
  <c r="E146" i="1"/>
  <c r="J145" i="1"/>
  <c r="K145" i="1" s="1"/>
  <c r="H145" i="1"/>
  <c r="G145" i="1"/>
  <c r="E145" i="1"/>
  <c r="J144" i="1"/>
  <c r="H144" i="1"/>
  <c r="G144" i="1"/>
  <c r="E144" i="1"/>
  <c r="K144" i="1" s="1"/>
  <c r="H143" i="1"/>
  <c r="G143" i="1"/>
  <c r="E143" i="1"/>
  <c r="K143" i="1" s="1"/>
  <c r="H142" i="1"/>
  <c r="G142" i="1"/>
  <c r="E142" i="1"/>
  <c r="H141" i="1"/>
  <c r="G141" i="1"/>
  <c r="E141" i="1"/>
  <c r="J140" i="1"/>
  <c r="K140" i="1" s="1"/>
  <c r="H140" i="1"/>
  <c r="G140" i="1"/>
  <c r="E140" i="1"/>
  <c r="J139" i="1"/>
  <c r="H139" i="1"/>
  <c r="G139" i="1"/>
  <c r="E139" i="1"/>
  <c r="K139" i="1" s="1"/>
  <c r="K138" i="1"/>
  <c r="J138" i="1"/>
  <c r="H138" i="1"/>
  <c r="G138" i="1"/>
  <c r="E138" i="1"/>
  <c r="H137" i="1"/>
  <c r="G137" i="1"/>
  <c r="E137" i="1"/>
  <c r="J137" i="1" s="1"/>
  <c r="K137" i="1" s="1"/>
  <c r="J136" i="1"/>
  <c r="H136" i="1"/>
  <c r="G136" i="1"/>
  <c r="E136" i="1"/>
  <c r="K136" i="1" s="1"/>
  <c r="H135" i="1"/>
  <c r="G135" i="1"/>
  <c r="E135" i="1"/>
  <c r="J135" i="1" s="1"/>
  <c r="K135" i="1" s="1"/>
  <c r="H134" i="1"/>
  <c r="G134" i="1"/>
  <c r="E134" i="1"/>
  <c r="J134" i="1" s="1"/>
  <c r="K134" i="1" s="1"/>
  <c r="J133" i="1"/>
  <c r="K133" i="1" s="1"/>
  <c r="H133" i="1"/>
  <c r="G133" i="1"/>
  <c r="E133" i="1"/>
  <c r="H132" i="1"/>
  <c r="G132" i="1"/>
  <c r="E132" i="1"/>
  <c r="H131" i="1"/>
  <c r="G131" i="1"/>
  <c r="E131" i="1"/>
  <c r="H130" i="1"/>
  <c r="G130" i="1"/>
  <c r="E130" i="1"/>
  <c r="H129" i="1"/>
  <c r="G129" i="1"/>
  <c r="E129" i="1"/>
  <c r="J128" i="1"/>
  <c r="K128" i="1" s="1"/>
  <c r="H128" i="1"/>
  <c r="G128" i="1"/>
  <c r="E128" i="1"/>
  <c r="J127" i="1"/>
  <c r="H127" i="1"/>
  <c r="G127" i="1"/>
  <c r="E127" i="1"/>
  <c r="K127" i="1" s="1"/>
  <c r="K126" i="1"/>
  <c r="J126" i="1"/>
  <c r="H126" i="1"/>
  <c r="G126" i="1"/>
  <c r="E126" i="1"/>
  <c r="H125" i="1"/>
  <c r="G125" i="1"/>
  <c r="E125" i="1"/>
  <c r="J125" i="1" s="1"/>
  <c r="K125" i="1" s="1"/>
  <c r="J124" i="1"/>
  <c r="H124" i="1"/>
  <c r="G124" i="1"/>
  <c r="E124" i="1"/>
  <c r="K124" i="1" s="1"/>
  <c r="H123" i="1"/>
  <c r="G123" i="1"/>
  <c r="E123" i="1"/>
  <c r="J123" i="1" s="1"/>
  <c r="K123" i="1" s="1"/>
  <c r="H122" i="1"/>
  <c r="G122" i="1"/>
  <c r="E122" i="1"/>
  <c r="J122" i="1" s="1"/>
  <c r="K122" i="1" s="1"/>
  <c r="J121" i="1"/>
  <c r="K121" i="1" s="1"/>
  <c r="H121" i="1"/>
  <c r="G121" i="1"/>
  <c r="E121" i="1"/>
  <c r="J120" i="1"/>
  <c r="H120" i="1"/>
  <c r="G120" i="1"/>
  <c r="E120" i="1"/>
  <c r="K120" i="1" s="1"/>
  <c r="H119" i="1"/>
  <c r="G119" i="1"/>
  <c r="E119" i="1"/>
  <c r="H118" i="1"/>
  <c r="G118" i="1"/>
  <c r="E118" i="1"/>
  <c r="H117" i="1"/>
  <c r="G117" i="1"/>
  <c r="E117" i="1"/>
  <c r="J116" i="1"/>
  <c r="K116" i="1" s="1"/>
  <c r="H116" i="1"/>
  <c r="G116" i="1"/>
  <c r="E116" i="1"/>
  <c r="J115" i="1"/>
  <c r="H115" i="1"/>
  <c r="G115" i="1"/>
  <c r="E115" i="1"/>
  <c r="K115" i="1" s="1"/>
  <c r="K114" i="1"/>
  <c r="J114" i="1"/>
  <c r="H114" i="1"/>
  <c r="G114" i="1"/>
  <c r="E114" i="1"/>
  <c r="H113" i="1"/>
  <c r="G113" i="1"/>
  <c r="E113" i="1"/>
  <c r="J113" i="1" s="1"/>
  <c r="K113" i="1" s="1"/>
  <c r="J112" i="1"/>
  <c r="H112" i="1"/>
  <c r="G112" i="1"/>
  <c r="E112" i="1"/>
  <c r="K112" i="1" s="1"/>
  <c r="H111" i="1"/>
  <c r="G111" i="1"/>
  <c r="E111" i="1"/>
  <c r="J111" i="1" s="1"/>
  <c r="K111" i="1" s="1"/>
  <c r="H110" i="1"/>
  <c r="G110" i="1"/>
  <c r="E110" i="1"/>
  <c r="J110" i="1" s="1"/>
  <c r="K110" i="1" s="1"/>
  <c r="J109" i="1"/>
  <c r="K109" i="1" s="1"/>
  <c r="H109" i="1"/>
  <c r="G109" i="1"/>
  <c r="E109" i="1"/>
  <c r="H108" i="1"/>
  <c r="G108" i="1"/>
  <c r="E108" i="1"/>
  <c r="H107" i="1"/>
  <c r="G107" i="1"/>
  <c r="E107" i="1"/>
  <c r="H106" i="1"/>
  <c r="G106" i="1"/>
  <c r="E106" i="1"/>
  <c r="H105" i="1"/>
  <c r="G105" i="1"/>
  <c r="E105" i="1"/>
  <c r="J104" i="1"/>
  <c r="K104" i="1" s="1"/>
  <c r="H104" i="1"/>
  <c r="G104" i="1"/>
  <c r="E104" i="1"/>
  <c r="J103" i="1"/>
  <c r="H103" i="1"/>
  <c r="G103" i="1"/>
  <c r="E103" i="1"/>
  <c r="K103" i="1" s="1"/>
  <c r="K102" i="1"/>
  <c r="J102" i="1"/>
  <c r="H102" i="1"/>
  <c r="G102" i="1"/>
  <c r="E102" i="1"/>
  <c r="H101" i="1"/>
  <c r="G101" i="1"/>
  <c r="E101" i="1"/>
  <c r="J101" i="1" s="1"/>
  <c r="K101" i="1" s="1"/>
  <c r="J100" i="1"/>
  <c r="H100" i="1"/>
  <c r="G100" i="1"/>
  <c r="E100" i="1"/>
  <c r="K100" i="1" s="1"/>
  <c r="H99" i="1"/>
  <c r="G99" i="1"/>
  <c r="E99" i="1"/>
  <c r="J99" i="1" s="1"/>
  <c r="K99" i="1" s="1"/>
  <c r="H98" i="1"/>
  <c r="G98" i="1"/>
  <c r="E98" i="1"/>
  <c r="J98" i="1" s="1"/>
  <c r="K98" i="1" s="1"/>
  <c r="J97" i="1"/>
  <c r="K97" i="1" s="1"/>
  <c r="H97" i="1"/>
  <c r="G97" i="1"/>
  <c r="E97" i="1"/>
  <c r="J96" i="1"/>
  <c r="H96" i="1"/>
  <c r="G96" i="1"/>
  <c r="E96" i="1"/>
  <c r="K96" i="1" s="1"/>
  <c r="H95" i="1"/>
  <c r="G95" i="1"/>
  <c r="E95" i="1"/>
  <c r="H94" i="1"/>
  <c r="G94" i="1"/>
  <c r="E94" i="1"/>
  <c r="H93" i="1"/>
  <c r="G93" i="1"/>
  <c r="E93" i="1"/>
  <c r="J92" i="1"/>
  <c r="K92" i="1" s="1"/>
  <c r="H92" i="1"/>
  <c r="G92" i="1"/>
  <c r="E92" i="1"/>
  <c r="J91" i="1"/>
  <c r="H91" i="1"/>
  <c r="G91" i="1"/>
  <c r="E91" i="1"/>
  <c r="K91" i="1" s="1"/>
  <c r="K90" i="1"/>
  <c r="J90" i="1"/>
  <c r="H90" i="1"/>
  <c r="G90" i="1"/>
  <c r="E90" i="1"/>
  <c r="H89" i="1"/>
  <c r="G89" i="1"/>
  <c r="E89" i="1"/>
  <c r="J89" i="1" s="1"/>
  <c r="K89" i="1" s="1"/>
  <c r="J88" i="1"/>
  <c r="H88" i="1"/>
  <c r="G88" i="1"/>
  <c r="E88" i="1"/>
  <c r="K88" i="1" s="1"/>
  <c r="H87" i="1"/>
  <c r="G87" i="1"/>
  <c r="E87" i="1"/>
  <c r="J87" i="1" s="1"/>
  <c r="K87" i="1" s="1"/>
  <c r="H86" i="1"/>
  <c r="G86" i="1"/>
  <c r="E86" i="1"/>
  <c r="J86" i="1" s="1"/>
  <c r="K86" i="1" s="1"/>
  <c r="J85" i="1"/>
  <c r="K85" i="1" s="1"/>
  <c r="H85" i="1"/>
  <c r="G85" i="1"/>
  <c r="E85" i="1"/>
  <c r="H84" i="1"/>
  <c r="G84" i="1"/>
  <c r="E84" i="1"/>
  <c r="H83" i="1"/>
  <c r="G83" i="1"/>
  <c r="E83" i="1"/>
  <c r="H82" i="1"/>
  <c r="G82" i="1"/>
  <c r="E82" i="1"/>
  <c r="H81" i="1"/>
  <c r="G81" i="1"/>
  <c r="E81" i="1"/>
  <c r="J80" i="1"/>
  <c r="K80" i="1" s="1"/>
  <c r="H80" i="1"/>
  <c r="G80" i="1"/>
  <c r="E80" i="1"/>
  <c r="J79" i="1"/>
  <c r="H79" i="1"/>
  <c r="G79" i="1"/>
  <c r="E79" i="1"/>
  <c r="K79" i="1" s="1"/>
  <c r="K78" i="1"/>
  <c r="J78" i="1"/>
  <c r="H78" i="1"/>
  <c r="G78" i="1"/>
  <c r="E78" i="1"/>
  <c r="H77" i="1"/>
  <c r="G77" i="1"/>
  <c r="E77" i="1"/>
  <c r="J77" i="1" s="1"/>
  <c r="K77" i="1" s="1"/>
  <c r="J76" i="1"/>
  <c r="H76" i="1"/>
  <c r="G76" i="1"/>
  <c r="E76" i="1"/>
  <c r="K76" i="1" s="1"/>
  <c r="H75" i="1"/>
  <c r="G75" i="1"/>
  <c r="E75" i="1"/>
  <c r="J75" i="1" s="1"/>
  <c r="K75" i="1" s="1"/>
  <c r="H74" i="1"/>
  <c r="G74" i="1"/>
  <c r="E74" i="1"/>
  <c r="J74" i="1" s="1"/>
  <c r="K74" i="1" s="1"/>
  <c r="J73" i="1"/>
  <c r="K73" i="1" s="1"/>
  <c r="H73" i="1"/>
  <c r="G73" i="1"/>
  <c r="E73" i="1"/>
  <c r="J72" i="1"/>
  <c r="H72" i="1"/>
  <c r="G72" i="1"/>
  <c r="E72" i="1"/>
  <c r="K72" i="1" s="1"/>
  <c r="H71" i="1"/>
  <c r="G71" i="1"/>
  <c r="E71" i="1"/>
  <c r="H70" i="1"/>
  <c r="G70" i="1"/>
  <c r="E70" i="1"/>
  <c r="H69" i="1"/>
  <c r="G69" i="1"/>
  <c r="E69" i="1"/>
  <c r="J68" i="1"/>
  <c r="K68" i="1" s="1"/>
  <c r="H68" i="1"/>
  <c r="G68" i="1"/>
  <c r="E68" i="1"/>
  <c r="J67" i="1"/>
  <c r="H67" i="1"/>
  <c r="G67" i="1"/>
  <c r="E67" i="1"/>
  <c r="K67" i="1" s="1"/>
  <c r="K66" i="1"/>
  <c r="J66" i="1"/>
  <c r="H66" i="1"/>
  <c r="G66" i="1"/>
  <c r="E66" i="1"/>
  <c r="H65" i="1"/>
  <c r="G65" i="1"/>
  <c r="E65" i="1"/>
  <c r="J65" i="1" s="1"/>
  <c r="K65" i="1" s="1"/>
  <c r="J64" i="1"/>
  <c r="H64" i="1"/>
  <c r="G64" i="1"/>
  <c r="E64" i="1"/>
  <c r="K64" i="1" s="1"/>
  <c r="H63" i="1"/>
  <c r="G63" i="1"/>
  <c r="E63" i="1"/>
  <c r="J63" i="1" s="1"/>
  <c r="K63" i="1" s="1"/>
  <c r="H62" i="1"/>
  <c r="G62" i="1"/>
  <c r="E62" i="1"/>
  <c r="J62" i="1" s="1"/>
  <c r="K62" i="1" s="1"/>
  <c r="J61" i="1"/>
  <c r="K61" i="1" s="1"/>
  <c r="H61" i="1"/>
  <c r="G61" i="1"/>
  <c r="E61" i="1"/>
  <c r="J60" i="1"/>
  <c r="H60" i="1"/>
  <c r="G60" i="1"/>
  <c r="E60" i="1"/>
  <c r="K60" i="1" s="1"/>
  <c r="H59" i="1"/>
  <c r="G59" i="1"/>
  <c r="E59" i="1"/>
  <c r="H58" i="1"/>
  <c r="G58" i="1"/>
  <c r="E58" i="1"/>
  <c r="H57" i="1"/>
  <c r="G57" i="1"/>
  <c r="E57" i="1"/>
  <c r="J56" i="1"/>
  <c r="K56" i="1" s="1"/>
  <c r="H56" i="1"/>
  <c r="G56" i="1"/>
  <c r="E56" i="1"/>
  <c r="J55" i="1"/>
  <c r="H55" i="1"/>
  <c r="G55" i="1"/>
  <c r="E55" i="1"/>
  <c r="K55" i="1" s="1"/>
  <c r="K54" i="1"/>
  <c r="J54" i="1"/>
  <c r="H54" i="1"/>
  <c r="G54" i="1"/>
  <c r="E54" i="1"/>
  <c r="H53" i="1"/>
  <c r="G53" i="1"/>
  <c r="E53" i="1"/>
  <c r="J53" i="1" s="1"/>
  <c r="K53" i="1" s="1"/>
  <c r="J52" i="1"/>
  <c r="H52" i="1"/>
  <c r="G52" i="1"/>
  <c r="E52" i="1"/>
  <c r="K52" i="1" s="1"/>
  <c r="H51" i="1"/>
  <c r="G51" i="1"/>
  <c r="E51" i="1"/>
  <c r="J51" i="1" s="1"/>
  <c r="K51" i="1" s="1"/>
  <c r="H50" i="1"/>
  <c r="G50" i="1"/>
  <c r="E50" i="1"/>
  <c r="J50" i="1" s="1"/>
  <c r="K50" i="1" s="1"/>
  <c r="J49" i="1"/>
  <c r="K49" i="1" s="1"/>
  <c r="H49" i="1"/>
  <c r="G49" i="1"/>
  <c r="E49" i="1"/>
  <c r="J48" i="1"/>
  <c r="H48" i="1"/>
  <c r="G48" i="1"/>
  <c r="E48" i="1"/>
  <c r="K48" i="1" s="1"/>
  <c r="K47" i="1"/>
  <c r="H47" i="1"/>
  <c r="G47" i="1"/>
  <c r="E47" i="1"/>
  <c r="K46" i="1"/>
  <c r="H46" i="1"/>
  <c r="G46" i="1"/>
  <c r="E46" i="1"/>
  <c r="K45" i="1"/>
  <c r="H45" i="1"/>
  <c r="G45" i="1"/>
  <c r="E45" i="1"/>
  <c r="H44" i="1"/>
  <c r="G44" i="1"/>
  <c r="E44" i="1"/>
  <c r="H43" i="1"/>
  <c r="G43" i="1"/>
  <c r="E43" i="1"/>
  <c r="J42" i="1"/>
  <c r="H42" i="1"/>
  <c r="G42" i="1"/>
  <c r="H41" i="1"/>
  <c r="G41" i="1"/>
  <c r="E41" i="1"/>
  <c r="K41" i="1" s="1"/>
  <c r="H40" i="1"/>
  <c r="G40" i="1"/>
  <c r="E40" i="1"/>
  <c r="H39" i="1"/>
  <c r="G39" i="1"/>
  <c r="E39" i="1"/>
  <c r="K38" i="1"/>
  <c r="H38" i="1"/>
  <c r="G38" i="1"/>
  <c r="E38" i="1"/>
  <c r="H37" i="1"/>
  <c r="G37" i="1"/>
  <c r="E37" i="1"/>
  <c r="K37" i="1" s="1"/>
  <c r="H36" i="1"/>
  <c r="G36" i="1"/>
  <c r="E36" i="1"/>
  <c r="K36" i="1" s="1"/>
  <c r="K35" i="1"/>
  <c r="H35" i="1"/>
  <c r="G35" i="1"/>
  <c r="E35" i="1"/>
  <c r="H34" i="1"/>
  <c r="G34" i="1"/>
  <c r="E34" i="1"/>
  <c r="K34" i="1" s="1"/>
  <c r="H33" i="1"/>
  <c r="G33" i="1"/>
  <c r="E33" i="1"/>
  <c r="K33" i="1" s="1"/>
  <c r="K32" i="1"/>
  <c r="H32" i="1"/>
  <c r="G32" i="1"/>
  <c r="E32" i="1"/>
  <c r="H31" i="1"/>
  <c r="G31" i="1"/>
  <c r="E31" i="1"/>
  <c r="K31" i="1" s="1"/>
  <c r="I30" i="1"/>
  <c r="H30" i="1"/>
  <c r="G30" i="1"/>
  <c r="E30" i="1"/>
  <c r="K30" i="1" s="1"/>
  <c r="K29" i="1"/>
  <c r="I29" i="1"/>
  <c r="H29" i="1"/>
  <c r="G29" i="1"/>
  <c r="E29" i="1"/>
  <c r="H28" i="1"/>
  <c r="G28" i="1"/>
  <c r="E28" i="1"/>
  <c r="J28" i="1" s="1"/>
  <c r="J27" i="1"/>
  <c r="K27" i="1" s="1"/>
  <c r="H27" i="1"/>
  <c r="G27" i="1"/>
  <c r="E27" i="1"/>
  <c r="J26" i="1"/>
  <c r="H26" i="1"/>
  <c r="G26" i="1"/>
  <c r="E26" i="1"/>
  <c r="K26" i="1" s="1"/>
  <c r="H25" i="1"/>
  <c r="G25" i="1"/>
  <c r="E25" i="1"/>
  <c r="J25" i="1" s="1"/>
  <c r="H24" i="1"/>
  <c r="G24" i="1"/>
  <c r="E24" i="1"/>
  <c r="H23" i="1"/>
  <c r="G23" i="1"/>
  <c r="E23" i="1"/>
  <c r="J22" i="1"/>
  <c r="K22" i="1" s="1"/>
  <c r="I22" i="1"/>
  <c r="H22" i="1"/>
  <c r="G22" i="1"/>
  <c r="E22" i="1"/>
  <c r="I21" i="1"/>
  <c r="J21" i="1" s="1"/>
  <c r="K21" i="1" s="1"/>
  <c r="H21" i="1"/>
  <c r="G21" i="1"/>
  <c r="E21" i="1"/>
  <c r="J20" i="1"/>
  <c r="K20" i="1" s="1"/>
  <c r="I20" i="1"/>
  <c r="H20" i="1"/>
  <c r="G20" i="1"/>
  <c r="E20" i="1"/>
  <c r="H19" i="1"/>
  <c r="G19" i="1"/>
  <c r="E19" i="1"/>
  <c r="J19" i="1" s="1"/>
  <c r="J18" i="1"/>
  <c r="K18" i="1" s="1"/>
  <c r="H18" i="1"/>
  <c r="G18" i="1"/>
  <c r="E18" i="1"/>
  <c r="J17" i="1"/>
  <c r="H17" i="1"/>
  <c r="G17" i="1"/>
  <c r="E17" i="1"/>
  <c r="K17" i="1" s="1"/>
  <c r="H16" i="1"/>
  <c r="G16" i="1"/>
  <c r="E16" i="1"/>
  <c r="J16" i="1" s="1"/>
  <c r="H15" i="1"/>
  <c r="G15" i="1"/>
  <c r="E15" i="1"/>
  <c r="H14" i="1"/>
  <c r="G14" i="1"/>
  <c r="E14" i="1"/>
  <c r="J13" i="1"/>
  <c r="K13" i="1" s="1"/>
  <c r="H13" i="1"/>
  <c r="G13" i="1"/>
  <c r="E13" i="1"/>
  <c r="J12" i="1"/>
  <c r="H12" i="1"/>
  <c r="G12" i="1"/>
  <c r="E12" i="1"/>
  <c r="K12" i="1" s="1"/>
  <c r="K11" i="1"/>
  <c r="J11" i="1"/>
  <c r="H11" i="1"/>
  <c r="G11" i="1"/>
  <c r="E11" i="1"/>
  <c r="K10" i="1"/>
  <c r="J10" i="1"/>
  <c r="H10" i="1"/>
  <c r="G10" i="1"/>
  <c r="E10" i="1"/>
  <c r="H9" i="1"/>
  <c r="G9" i="1"/>
  <c r="E9" i="1"/>
  <c r="J9" i="1" s="1"/>
  <c r="H8" i="1"/>
  <c r="G8" i="1"/>
  <c r="E8" i="1"/>
  <c r="J8" i="1" s="1"/>
  <c r="K8" i="1" s="1"/>
  <c r="H7" i="1"/>
  <c r="G7" i="1"/>
  <c r="E7" i="1"/>
  <c r="L271" i="1"/>
  <c r="N269" i="1"/>
  <c r="N265" i="1"/>
  <c r="J288" i="1"/>
  <c r="N260" i="1"/>
  <c r="K255" i="1" l="1"/>
  <c r="K245" i="1"/>
  <c r="K81" i="1"/>
  <c r="K95" i="1"/>
  <c r="K105" i="1"/>
  <c r="K119" i="1"/>
  <c r="K181" i="1"/>
  <c r="K15" i="1"/>
  <c r="K226" i="1"/>
  <c r="K284" i="1"/>
  <c r="K257" i="1"/>
  <c r="K267" i="1"/>
  <c r="K69" i="1"/>
  <c r="K130" i="1"/>
  <c r="K83" i="1"/>
  <c r="K203" i="1"/>
  <c r="K227" i="1"/>
  <c r="K285" i="1"/>
  <c r="K117" i="1"/>
  <c r="K258" i="1"/>
  <c r="K141" i="1"/>
  <c r="K169" i="1"/>
  <c r="K244" i="1"/>
  <c r="K107" i="1"/>
  <c r="K7" i="1"/>
  <c r="K94" i="1"/>
  <c r="K214" i="1"/>
  <c r="K228" i="1"/>
  <c r="K19" i="1"/>
  <c r="J84" i="1"/>
  <c r="K84" i="1" s="1"/>
  <c r="J108" i="1"/>
  <c r="K108" i="1" s="1"/>
  <c r="J132" i="1"/>
  <c r="K132" i="1" s="1"/>
  <c r="J154" i="1"/>
  <c r="K154" i="1" s="1"/>
  <c r="J169" i="1"/>
  <c r="J181" i="1"/>
  <c r="J246" i="1"/>
  <c r="K246" i="1" s="1"/>
  <c r="J258" i="1"/>
  <c r="K273" i="1"/>
  <c r="K28" i="1"/>
  <c r="J24" i="1"/>
  <c r="K24" i="1" s="1"/>
  <c r="J40" i="1"/>
  <c r="K40" i="1" s="1"/>
  <c r="J43" i="1"/>
  <c r="K43" i="1" s="1"/>
  <c r="J58" i="1"/>
  <c r="K58" i="1" s="1"/>
  <c r="J70" i="1"/>
  <c r="K70" i="1" s="1"/>
  <c r="J82" i="1"/>
  <c r="K82" i="1" s="1"/>
  <c r="J94" i="1"/>
  <c r="J106" i="1"/>
  <c r="K106" i="1" s="1"/>
  <c r="J118" i="1"/>
  <c r="K118" i="1" s="1"/>
  <c r="J130" i="1"/>
  <c r="J142" i="1"/>
  <c r="K142" i="1" s="1"/>
  <c r="J147" i="1"/>
  <c r="K147" i="1" s="1"/>
  <c r="J152" i="1"/>
  <c r="K152" i="1" s="1"/>
  <c r="J167" i="1"/>
  <c r="K167" i="1" s="1"/>
  <c r="J179" i="1"/>
  <c r="K179" i="1" s="1"/>
  <c r="J191" i="1"/>
  <c r="K191" i="1" s="1"/>
  <c r="J203" i="1"/>
  <c r="J215" i="1"/>
  <c r="K215" i="1" s="1"/>
  <c r="J227" i="1"/>
  <c r="J244" i="1"/>
  <c r="J256" i="1"/>
  <c r="K256" i="1" s="1"/>
  <c r="J15" i="1"/>
  <c r="J284" i="1"/>
  <c r="J206" i="1"/>
  <c r="K206" i="1" s="1"/>
  <c r="J218" i="1"/>
  <c r="K218" i="1" s="1"/>
  <c r="J230" i="1"/>
  <c r="K230" i="1" s="1"/>
  <c r="J247" i="1"/>
  <c r="K247" i="1" s="1"/>
  <c r="J44" i="1"/>
  <c r="K44" i="1" s="1"/>
  <c r="J59" i="1"/>
  <c r="K59" i="1" s="1"/>
  <c r="J71" i="1"/>
  <c r="K71" i="1" s="1"/>
  <c r="J83" i="1"/>
  <c r="J95" i="1"/>
  <c r="J107" i="1"/>
  <c r="J119" i="1"/>
  <c r="J131" i="1"/>
  <c r="K131" i="1" s="1"/>
  <c r="J148" i="1"/>
  <c r="K148" i="1" s="1"/>
  <c r="J153" i="1"/>
  <c r="K153" i="1" s="1"/>
  <c r="J168" i="1"/>
  <c r="K168" i="1" s="1"/>
  <c r="J180" i="1"/>
  <c r="K180" i="1" s="1"/>
  <c r="J192" i="1"/>
  <c r="K192" i="1" s="1"/>
  <c r="J204" i="1"/>
  <c r="K204" i="1" s="1"/>
  <c r="J216" i="1"/>
  <c r="K216" i="1" s="1"/>
  <c r="J228" i="1"/>
  <c r="J245" i="1"/>
  <c r="J257" i="1"/>
  <c r="J267" i="1"/>
  <c r="K16" i="1"/>
  <c r="J280" i="1"/>
  <c r="K280" i="1" s="1"/>
  <c r="J285" i="1"/>
  <c r="K25" i="1"/>
  <c r="K9" i="1"/>
  <c r="J23" i="1"/>
  <c r="K23" i="1" s="1"/>
  <c r="J39" i="1"/>
  <c r="K39" i="1" s="1"/>
  <c r="J57" i="1"/>
  <c r="K57" i="1" s="1"/>
  <c r="J69" i="1"/>
  <c r="J81" i="1"/>
  <c r="J93" i="1"/>
  <c r="K93" i="1" s="1"/>
  <c r="J105" i="1"/>
  <c r="J117" i="1"/>
  <c r="J129" i="1"/>
  <c r="K129" i="1" s="1"/>
  <c r="J141" i="1"/>
  <c r="J146" i="1"/>
  <c r="K146" i="1" s="1"/>
  <c r="J166" i="1"/>
  <c r="K166" i="1" s="1"/>
  <c r="J178" i="1"/>
  <c r="K178" i="1" s="1"/>
  <c r="J190" i="1"/>
  <c r="K190" i="1" s="1"/>
  <c r="J202" i="1"/>
  <c r="K202" i="1" s="1"/>
  <c r="J214" i="1"/>
  <c r="J226" i="1"/>
  <c r="J243" i="1"/>
  <c r="K243" i="1" s="1"/>
  <c r="J255" i="1"/>
  <c r="J270" i="1"/>
  <c r="K270" i="1" s="1"/>
  <c r="J14" i="1"/>
  <c r="K14" i="1" s="1"/>
  <c r="J7" i="1"/>
  <c r="J260" i="1"/>
  <c r="K260" i="1" s="1"/>
  <c r="J278" i="1"/>
  <c r="K278" i="1" s="1"/>
  <c r="J283" i="1"/>
  <c r="K283" i="1" s="1"/>
  <c r="Q275" i="1"/>
  <c r="L272" i="1"/>
  <c r="M263" i="1"/>
  <c r="J292" i="1"/>
  <c r="L267" i="1"/>
  <c r="N266" i="1"/>
  <c r="K289" i="1"/>
  <c r="K288" i="1"/>
  <c r="J289" i="1"/>
  <c r="J286" i="1" l="1"/>
  <c r="L268" i="1"/>
</calcChain>
</file>

<file path=xl/sharedStrings.xml><?xml version="1.0" encoding="utf-8"?>
<sst xmlns="http://schemas.openxmlformats.org/spreadsheetml/2006/main" count="575" uniqueCount="301">
  <si>
    <t xml:space="preserve">                                    Autoridad Nacional de Asuntos Maritimos</t>
  </si>
  <si>
    <t>ANAMAR</t>
  </si>
  <si>
    <t>Relación Trimestral de Inventario Material Gastable</t>
  </si>
  <si>
    <t>Periodo de adquisición</t>
  </si>
  <si>
    <t>Fecha de Registro</t>
  </si>
  <si>
    <t>Código Institucional</t>
  </si>
  <si>
    <t>Breve Descripción del Bien</t>
  </si>
  <si>
    <t>Existencia</t>
  </si>
  <si>
    <t>Medida</t>
  </si>
  <si>
    <t>Qty Entrada</t>
  </si>
  <si>
    <t>Qty Salida</t>
  </si>
  <si>
    <t>Precio</t>
  </si>
  <si>
    <t>ITBS</t>
  </si>
  <si>
    <t>Valores RD$</t>
  </si>
  <si>
    <t xml:space="preserve">Papel Bond 8½ X 11 </t>
  </si>
  <si>
    <t>Resma</t>
  </si>
  <si>
    <t xml:space="preserve">(2)Papel Bond 81/2 X11 </t>
  </si>
  <si>
    <t>Papel Bond 8½ X 13</t>
  </si>
  <si>
    <t xml:space="preserve">(3) Papel Bond 8½ X 11 </t>
  </si>
  <si>
    <t>Papel Bond 11 X 17</t>
  </si>
  <si>
    <t>Papel Opalina 8½ X 11</t>
  </si>
  <si>
    <t>Papel Satinado 8½ X 11</t>
  </si>
  <si>
    <t>Papel Hilo 1 cara 8½ X 11</t>
  </si>
  <si>
    <t xml:space="preserve">Folder 8½ X 11 </t>
  </si>
  <si>
    <t>Unidad</t>
  </si>
  <si>
    <t xml:space="preserve">(2)Folder 8½ X 11 </t>
  </si>
  <si>
    <t>Folder 8½ X 13</t>
  </si>
  <si>
    <t>Cover para encuadernación Azul</t>
  </si>
  <si>
    <t>Cover para encuadernación Transparente</t>
  </si>
  <si>
    <t>PendaFlex 8½ X 11</t>
  </si>
  <si>
    <t>Caja</t>
  </si>
  <si>
    <t>Separador con Pestañas (5 Tab Color)</t>
  </si>
  <si>
    <t>Protector Hojas Carpetas</t>
  </si>
  <si>
    <t>(2) Protector Hojas Carpetas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</si>
  <si>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</si>
  <si>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(3)Protector Hojas Carpetas</t>
  </si>
  <si>
    <t>Sobres en Blanco sin logo</t>
  </si>
  <si>
    <t>Sobres Manila 81/2 X 11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</si>
  <si>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</si>
  <si>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</si>
  <si>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</si>
  <si>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</si>
  <si>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</si>
  <si>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</si>
  <si>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</si>
  <si>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</si>
  <si>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(2)Felpa rollerball Talbot negra</t>
  </si>
  <si>
    <t>Lapiz Carbon</t>
  </si>
  <si>
    <t>Portaminas 0.5mm</t>
  </si>
  <si>
    <t>Minas 0.5</t>
  </si>
  <si>
    <t>Felpas Printek negras</t>
  </si>
  <si>
    <t>Lapiceros Azules Faber Castle</t>
  </si>
  <si>
    <t>Lapiceros Negros Faber Castle</t>
  </si>
  <si>
    <t>Lapiceros Azules Pelikan Pointec</t>
  </si>
  <si>
    <t>Lapiceros Talbot Azul</t>
  </si>
  <si>
    <t>(2) Lapiceros Tabolt Azul</t>
  </si>
  <si>
    <t>Lapiceros</t>
  </si>
  <si>
    <t>Grapadora</t>
  </si>
  <si>
    <t>Grapas standard</t>
  </si>
  <si>
    <t>Sacagrapa pequeño</t>
  </si>
  <si>
    <t>Saca Grapa uso pesado</t>
  </si>
  <si>
    <t>Perforadora 2 Hoyos</t>
  </si>
  <si>
    <t>Perforadora 3 Hoyos</t>
  </si>
  <si>
    <t>(2) Perforadora 3 Hoyos</t>
  </si>
  <si>
    <t>Libretas Peq. Blanca rayada</t>
  </si>
  <si>
    <t>(2) Libretas Peq. Blanca rayada</t>
  </si>
  <si>
    <t>(3) Libreta Peq. Blanca Rayada</t>
  </si>
  <si>
    <t>Libretas Gde. Blanca</t>
  </si>
  <si>
    <t>Bandas (Gomitas)</t>
  </si>
  <si>
    <t>Cinta Pegante invisible</t>
  </si>
  <si>
    <t>(2)Cinta Pegante invisible</t>
  </si>
  <si>
    <t>Masking Tape 1" (color blanco)</t>
  </si>
  <si>
    <t>Cinta Doble Cara</t>
  </si>
  <si>
    <t>Cinta adhesiva de 3/4</t>
  </si>
  <si>
    <t>(2)Cinta adhesiva de 3/4</t>
  </si>
  <si>
    <t>Ganchos Acco</t>
  </si>
  <si>
    <t>Paper Clips Jumbo</t>
  </si>
  <si>
    <t>Paper Clips 33mm</t>
  </si>
  <si>
    <t>Memoria USB16GB</t>
  </si>
  <si>
    <t>Memoria USB32GB</t>
  </si>
  <si>
    <t>Post It 10x15 color</t>
  </si>
  <si>
    <t>(2) Post-It Mmemo 10x15</t>
  </si>
  <si>
    <t xml:space="preserve">Post It Memo Tip 3x5 </t>
  </si>
  <si>
    <t>Post-It Memo Tip 3x3</t>
  </si>
  <si>
    <t>(2) Post-it Memo Tip 3x3</t>
  </si>
  <si>
    <t>Cera para contar</t>
  </si>
  <si>
    <t>Post It Mini Memo Tip 1 1/2x2 (pequeño)</t>
  </si>
  <si>
    <t>(2)Post-It MemoTip 11/2x2</t>
  </si>
  <si>
    <t>(3)Post-It MemoTip 11/2x2</t>
  </si>
  <si>
    <r>
      <rPr>
        <sz val="7.5"/>
        <rFont val="Calibri"/>
        <family val="2"/>
      </rPr>
      <t>29/042021</t>
    </r>
  </si>
  <si>
    <t xml:space="preserve">Sharpie Azul </t>
  </si>
  <si>
    <t>Sharpie Verde</t>
  </si>
  <si>
    <t>(2)Sharpie verde</t>
  </si>
  <si>
    <t>Resaltador azul</t>
  </si>
  <si>
    <t>Resaltador naranja</t>
  </si>
  <si>
    <t>Resaltador rosado</t>
  </si>
  <si>
    <t>Resaltador amarillo</t>
  </si>
  <si>
    <t>(2)Resaltador amarillo</t>
  </si>
  <si>
    <t>Sharpie negro</t>
  </si>
  <si>
    <t>(2) Sharpie negro</t>
  </si>
  <si>
    <t>Sharpie Rojo</t>
  </si>
  <si>
    <t>Marcadores Pizarra</t>
  </si>
  <si>
    <t>Clips Billeteros 51mm</t>
  </si>
  <si>
    <t>(3)Clips Billeteros 51mm</t>
  </si>
  <si>
    <t>Clips Billeteros 41mm</t>
  </si>
  <si>
    <t>(2)Clips Billeteros 41mm</t>
  </si>
  <si>
    <t xml:space="preserve">Clips Billeteros32mm </t>
  </si>
  <si>
    <t xml:space="preserve">(2)Clips Billeteros32mm </t>
  </si>
  <si>
    <t>Clips Billeteros 25mm</t>
  </si>
  <si>
    <t>(2)Clips Billeteros 25mm</t>
  </si>
  <si>
    <t>(3)Clips Billeteros 25mm</t>
  </si>
  <si>
    <t>Clips Billeteros 1/2</t>
  </si>
  <si>
    <t>Clips Billeteros 19mm</t>
  </si>
  <si>
    <t>Pilas AAA paquete de 2/1</t>
  </si>
  <si>
    <t>Pilas AA paquete de 2/1</t>
  </si>
  <si>
    <t>Pilas AA paquete de 4</t>
  </si>
  <si>
    <t>Paquete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</si>
  <si>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</si>
  <si>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</si>
  <si>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</si>
  <si>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</si>
  <si>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</si>
  <si>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</si>
  <si>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</si>
  <si>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</si>
  <si>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</si>
  <si>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</si>
  <si>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CD</t>
  </si>
  <si>
    <t>DVD</t>
  </si>
  <si>
    <t>Carpetas vinyl 1"</t>
  </si>
  <si>
    <t>Carpetas vinyl 1½"</t>
  </si>
  <si>
    <t>Carpetas vinyl 2"</t>
  </si>
  <si>
    <t>Carpetas vinyl 3"</t>
  </si>
  <si>
    <t>Carpetas vinyl 4"</t>
  </si>
  <si>
    <t>Carpetas vinyl 5"</t>
  </si>
  <si>
    <t>Espiral para encuadernación 6mm</t>
  </si>
  <si>
    <t>Espiral para encuadernación 14mm</t>
  </si>
  <si>
    <t>Espiral para encuadernación 12mm</t>
  </si>
  <si>
    <t>Espiral para encuadernación 16mm</t>
  </si>
  <si>
    <t>Espiral para encuadernación 19mm</t>
  </si>
  <si>
    <t>Pegamento fuerte liquido Coqui</t>
  </si>
  <si>
    <t>Pegamneto Fuerte UHU</t>
  </si>
  <si>
    <t>Zafacon de escritorio</t>
  </si>
  <si>
    <t>Rollo Papel Sumadora</t>
  </si>
  <si>
    <t>(2) Rollo papel sumadora</t>
  </si>
  <si>
    <t>Archivo acordeon</t>
  </si>
  <si>
    <t>Juego para escritorios</t>
  </si>
  <si>
    <t>Juego Bandeja Escritorio</t>
  </si>
  <si>
    <t>Porta Lapices</t>
  </si>
  <si>
    <t>Porta Libreta</t>
  </si>
  <si>
    <t>Label mamey</t>
  </si>
  <si>
    <t>Pizarra corcho</t>
  </si>
  <si>
    <t>USB CIMO 2016</t>
  </si>
  <si>
    <t>Pegamento en Barra</t>
  </si>
  <si>
    <t>(2)Pegamento en Barra</t>
  </si>
  <si>
    <t>Pegamento blanco</t>
  </si>
  <si>
    <t>Agendas Annual</t>
  </si>
  <si>
    <t>(2) Agendas Annual</t>
  </si>
  <si>
    <t>Mascarillas desechables</t>
  </si>
  <si>
    <t>Gel Antibacterial</t>
  </si>
  <si>
    <t>Galón</t>
  </si>
  <si>
    <t xml:space="preserve">Alcohol Isopropilico </t>
  </si>
  <si>
    <t>(2) Alcohol Isopropilico</t>
  </si>
  <si>
    <t>Café Santo Domingo molido 1lb</t>
  </si>
  <si>
    <t>(2) café santo dmingo</t>
  </si>
  <si>
    <t xml:space="preserve">Te de frutas </t>
  </si>
  <si>
    <t>Agua de 16 onz</t>
  </si>
  <si>
    <t>(2) Agua 16onz</t>
  </si>
  <si>
    <t>Te de Manzanilla</t>
  </si>
  <si>
    <t>Te de Manzanilla y Anis</t>
  </si>
  <si>
    <t>(2)Te manzanilla y anis</t>
  </si>
  <si>
    <t>(3) Te manzanilla y anis</t>
  </si>
  <si>
    <t>Vasos de papel No. 4</t>
  </si>
  <si>
    <t>Servilletas C-Fold</t>
  </si>
  <si>
    <t>(2) Servilletas C-Fold</t>
  </si>
  <si>
    <t>(3)Servilletas C-Fold</t>
  </si>
  <si>
    <t>Azucar Blanca</t>
  </si>
  <si>
    <t>(2)Azucar Blanca</t>
  </si>
  <si>
    <t>Azucar parda</t>
  </si>
  <si>
    <t>(2) Azucar parda</t>
  </si>
  <si>
    <t>Cremora Lite</t>
  </si>
  <si>
    <t>(2) Cremora Lite</t>
  </si>
  <si>
    <t>Cremora Nestle 22Onz</t>
  </si>
  <si>
    <t>(3) Cremora Nestle 22 onz</t>
  </si>
  <si>
    <t>(2)Cremora Nestle 22Onz</t>
  </si>
  <si>
    <t>Té genjibre/limón</t>
  </si>
  <si>
    <t>Vasos de pepel No.7</t>
  </si>
  <si>
    <t>(2) Vasos de papel No. 7</t>
  </si>
  <si>
    <t>(2) Te de jengibre y limon</t>
  </si>
  <si>
    <t>Vasos Plasticos No. 10</t>
  </si>
  <si>
    <t>(2) Vasos plasticos No. 10</t>
  </si>
  <si>
    <t>Servilletas</t>
  </si>
  <si>
    <t xml:space="preserve">(2) Servilletas </t>
  </si>
  <si>
    <t>(3) Servilletas</t>
  </si>
  <si>
    <t>Escobas</t>
  </si>
  <si>
    <t>(2) Escobas</t>
  </si>
  <si>
    <t>Suapes</t>
  </si>
  <si>
    <t>(2) Suapes</t>
  </si>
  <si>
    <t>(3) suapes</t>
  </si>
  <si>
    <t>Fundas blancas para cocina</t>
  </si>
  <si>
    <t>(2) Fundas blancas cocina</t>
  </si>
  <si>
    <t>(3) Fundas blancas cocina</t>
  </si>
  <si>
    <t>Cloro</t>
  </si>
  <si>
    <t>Detergente en polvo</t>
  </si>
  <si>
    <t xml:space="preserve">(2) Detergente en polvo </t>
  </si>
  <si>
    <t>(3)Detergente en polvo</t>
  </si>
  <si>
    <t>Detergente Liquido para pisos</t>
  </si>
  <si>
    <t>(2) Detergente liquido pisos</t>
  </si>
  <si>
    <t>(3) Detergente liquido pisos</t>
  </si>
  <si>
    <t>Desinfectante/ambientador</t>
  </si>
  <si>
    <t>(2) Desinfectante/ambientador</t>
  </si>
  <si>
    <t>(3) Desinfectante/ ambientador</t>
  </si>
  <si>
    <t>Esponja de fregar</t>
  </si>
  <si>
    <t>(2) Esponja de fregar</t>
  </si>
  <si>
    <t>(3) Esponja de fregar</t>
  </si>
  <si>
    <t xml:space="preserve">Lavaplatos liquido </t>
  </si>
  <si>
    <t>(2) Lavaplatos liquidos</t>
  </si>
  <si>
    <t>(3) Lavaplatos liquido</t>
  </si>
  <si>
    <t>Paños de cocina</t>
  </si>
  <si>
    <t>(2) paños e cocina 3/1</t>
  </si>
  <si>
    <t>Guantes para limpieza</t>
  </si>
  <si>
    <t>(2)Guantespara limpieza</t>
  </si>
  <si>
    <t>(3) Guantes para limpieza</t>
  </si>
  <si>
    <t>Cuchara plasticas</t>
  </si>
  <si>
    <t>Tenedores plasticos</t>
  </si>
  <si>
    <t>Platos desechables No. 6</t>
  </si>
  <si>
    <t>(2) Platos deschables No.6</t>
  </si>
  <si>
    <t>(3) Platos desechables No. 6</t>
  </si>
  <si>
    <t>(2) Tenedores plasticos</t>
  </si>
  <si>
    <t>Platos desechables No. 9</t>
  </si>
  <si>
    <t>(2) Platos deschables No.9</t>
  </si>
  <si>
    <t>(3) Platos desechable No.9</t>
  </si>
  <si>
    <t>Papel de Baño de dispensador</t>
  </si>
  <si>
    <t xml:space="preserve">(2) Papel dispensador </t>
  </si>
  <si>
    <t>(3) Papel dispensador</t>
  </si>
  <si>
    <t>Te anis</t>
  </si>
  <si>
    <t>(2) Te anis</t>
  </si>
  <si>
    <t xml:space="preserve">Paper Clips 50mm </t>
  </si>
  <si>
    <t>Memoria 8GB</t>
  </si>
  <si>
    <t>Fundas negras baño</t>
  </si>
  <si>
    <t>(2) Fundas Negras baño</t>
  </si>
  <si>
    <t>(3) Fundas Negras baño</t>
  </si>
  <si>
    <t>Endulzante splenda</t>
  </si>
  <si>
    <t>(2)Endulzante Splenda</t>
  </si>
  <si>
    <t>Endulzante Stivia</t>
  </si>
  <si>
    <t>Label Blanco</t>
  </si>
  <si>
    <t>Papel de Baño BRAVO</t>
  </si>
  <si>
    <t>platos desechables No.7</t>
  </si>
  <si>
    <t>(2)Platos deschables No.7</t>
  </si>
  <si>
    <t>(3) Platos desechable No.7</t>
  </si>
  <si>
    <t>Cloro de marca</t>
  </si>
  <si>
    <t>(2) Cloro marca</t>
  </si>
  <si>
    <t>(3) Cloro Lider</t>
  </si>
  <si>
    <t>13/12/2022</t>
  </si>
  <si>
    <t>PAPEL BOND 81/2 X 14</t>
  </si>
  <si>
    <t xml:space="preserve">Mochilas </t>
  </si>
  <si>
    <t>Cuaderno</t>
  </si>
  <si>
    <t>Lapices mochila</t>
  </si>
  <si>
    <t>Gomas de borrar (mochila)</t>
  </si>
  <si>
    <t>Reglas  mochila</t>
  </si>
  <si>
    <t>Lapices de colores</t>
  </si>
  <si>
    <t>sacapunta mochila</t>
  </si>
  <si>
    <t>Cartuchera plastica</t>
  </si>
  <si>
    <t>Tempera mochila</t>
  </si>
  <si>
    <t>Cuaderno de dibujo Mochila</t>
  </si>
  <si>
    <t>Marcador Permanente mochila</t>
  </si>
  <si>
    <t>Resaltador amarillo mochila</t>
  </si>
  <si>
    <t>boligrafo mochila</t>
  </si>
  <si>
    <t>Felpa azul Mochila</t>
  </si>
  <si>
    <t>Folder Plastico mochila</t>
  </si>
  <si>
    <t>Folder a color mochila</t>
  </si>
  <si>
    <t>Grapadora mini mochila</t>
  </si>
  <si>
    <t>Ega blanca Mochila</t>
  </si>
  <si>
    <t>Folder pasticos Mochila</t>
  </si>
  <si>
    <t>Felpa azul Gruesa</t>
  </si>
  <si>
    <t>jabon de mano</t>
  </si>
  <si>
    <t xml:space="preserve"> </t>
  </si>
  <si>
    <t xml:space="preserve">(4) Papel Bond 8½ X 11 </t>
  </si>
  <si>
    <t>(4)Protector Hojas Carpetas</t>
  </si>
  <si>
    <t>(3)Cinta Pegante invisible</t>
  </si>
  <si>
    <t>(2 )Carpetas vinyl 3"</t>
  </si>
  <si>
    <t>(2)Juego Bandeja Escritorio</t>
  </si>
  <si>
    <t>(3)Pegamento en Barra</t>
  </si>
  <si>
    <t>(3) café Santo Domingo</t>
  </si>
  <si>
    <t>(3) agua de 16 OZ</t>
  </si>
  <si>
    <t>(4) Te manzanilla y anis</t>
  </si>
  <si>
    <t>(4)Servilletas C-Fold</t>
  </si>
  <si>
    <t>(4) Cremora Nestle 22 Onz</t>
  </si>
  <si>
    <t>(3) Vasos de papel No. 7</t>
  </si>
  <si>
    <t>(3) Te gejibre y limon</t>
  </si>
  <si>
    <t>(4) Te Genjibre y limon</t>
  </si>
  <si>
    <t>(3) Vasos plasticos No. 10</t>
  </si>
  <si>
    <t>(4) servilleta</t>
  </si>
  <si>
    <t>(4) Deterngente liquido para pisos</t>
  </si>
  <si>
    <t>(4) Gunates para limpieza</t>
  </si>
  <si>
    <t>(4) Papel dispensador</t>
  </si>
  <si>
    <t>(3)Endulzante Splenda</t>
  </si>
  <si>
    <t>(2)Endulzante Stivia</t>
  </si>
  <si>
    <t>(4) Cloro clorox</t>
  </si>
  <si>
    <t>removedor de manchas</t>
  </si>
  <si>
    <t>resma de papel hilo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</si>
</sst>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/dd/yyyy;@"/>
    <numFmt numFmtId="166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rgb="FF000000"/>
      <name val="Calibri"/>
      <family val="2"/>
    </font>
    <font>
      <sz val="11"/>
      <name val="Calibri"/>
      <family val="2"/>
      <scheme val="minor"/>
    </font>
    <font>
      <sz val="7.5"/>
      <name val="Calibri"/>
      <family val="2"/>
    </font>
    <font>
      <sz val="10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shrinkToFit="1"/>
    </xf>
    <xf numFmtId="164" fontId="8" fillId="2" borderId="2" xfId="0" applyNumberFormat="1" applyFont="1" applyFill="1" applyBorder="1" applyAlignment="1">
      <alignment horizontal="center" vertical="top" shrinkToFi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8" fillId="0" borderId="1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 vertical="top" shrinkToFi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/>
    <xf numFmtId="165" fontId="8" fillId="0" borderId="2" xfId="0" applyNumberFormat="1" applyFont="1" applyBorder="1" applyAlignment="1">
      <alignment horizontal="center" vertical="top" shrinkToFit="1"/>
    </xf>
    <xf numFmtId="0" fontId="0" fillId="3" borderId="0" xfId="0" applyFill="1"/>
    <xf numFmtId="44" fontId="0" fillId="0" borderId="0" xfId="0" applyNumberFormat="1"/>
    <xf numFmtId="0" fontId="9" fillId="0" borderId="4" xfId="0" applyFont="1" applyBorder="1"/>
    <xf numFmtId="165" fontId="8" fillId="2" borderId="2" xfId="0" applyNumberFormat="1" applyFont="1" applyFill="1" applyBorder="1" applyAlignment="1">
      <alignment horizontal="center" vertical="top" shrinkToFit="1"/>
    </xf>
    <xf numFmtId="16" fontId="0" fillId="0" borderId="4" xfId="0" applyNumberFormat="1" applyBorder="1"/>
    <xf numFmtId="16" fontId="0" fillId="0" borderId="7" xfId="0" applyNumberFormat="1" applyBorder="1"/>
    <xf numFmtId="0" fontId="10" fillId="0" borderId="2" xfId="0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4" borderId="4" xfId="0" applyFill="1" applyBorder="1"/>
    <xf numFmtId="165" fontId="8" fillId="2" borderId="1" xfId="0" applyNumberFormat="1" applyFont="1" applyFill="1" applyBorder="1" applyAlignment="1">
      <alignment horizontal="center" vertical="top" shrinkToFit="1"/>
    </xf>
    <xf numFmtId="165" fontId="8" fillId="0" borderId="1" xfId="0" applyNumberFormat="1" applyFont="1" applyBorder="1" applyAlignment="1">
      <alignment horizontal="center" vertical="top" shrinkToFit="1"/>
    </xf>
    <xf numFmtId="166" fontId="8" fillId="2" borderId="1" xfId="0" applyNumberFormat="1" applyFont="1" applyFill="1" applyBorder="1" applyAlignment="1">
      <alignment horizontal="center" vertical="top" shrinkToFit="1"/>
    </xf>
    <xf numFmtId="166" fontId="8" fillId="0" borderId="1" xfId="0" applyNumberFormat="1" applyFont="1" applyBorder="1" applyAlignment="1">
      <alignment horizontal="center" vertical="top" shrinkToFit="1"/>
    </xf>
    <xf numFmtId="9" fontId="0" fillId="0" borderId="0" xfId="0" applyNumberFormat="1"/>
    <xf numFmtId="43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44" fontId="0" fillId="0" borderId="5" xfId="0" applyNumberFormat="1" applyBorder="1" applyAlignment="1">
      <alignment horizontal="center"/>
    </xf>
    <xf numFmtId="166" fontId="8" fillId="0" borderId="2" xfId="0" applyNumberFormat="1" applyFont="1" applyBorder="1" applyAlignment="1">
      <alignment horizontal="center" vertical="top" shrinkToFit="1"/>
    </xf>
    <xf numFmtId="43" fontId="0" fillId="0" borderId="0" xfId="1" applyFont="1" applyFill="1"/>
    <xf numFmtId="0" fontId="11" fillId="0" borderId="0" xfId="0" applyFont="1"/>
    <xf numFmtId="0" fontId="12" fillId="0" borderId="0" xfId="0" applyFont="1"/>
    <xf numFmtId="44" fontId="12" fillId="0" borderId="0" xfId="0" applyNumberFormat="1" applyFont="1"/>
    <xf numFmtId="43" fontId="12" fillId="0" borderId="0" xfId="0" applyNumberFormat="1" applyFont="1"/>
    <xf numFmtId="0" fontId="5" fillId="0" borderId="0" xfId="0" applyFont="1"/>
    <xf numFmtId="44" fontId="5" fillId="0" borderId="0" xfId="0" applyNumberFormat="1" applyFont="1"/>
    <xf numFmtId="44" fontId="5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44" fontId="2" fillId="0" borderId="0" xfId="0" applyNumberFormat="1" applyFont="1"/>
    <xf numFmtId="44" fontId="5" fillId="0" borderId="0" xfId="0" applyNumberFormat="1" applyFont="1" applyAlignment="1">
      <alignment horizontal="center"/>
    </xf>
    <xf numFmtId="43" fontId="5" fillId="0" borderId="0" xfId="1" applyFont="1"/>
    <xf numFmtId="43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5"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theme="4" tint="0.39997558519241921"/>
        </top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sz val="7.5"/>
        <color rgb="FF000000"/>
      </font>
      <numFmt numFmtId="164" formatCode="m/d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sz val="7.5"/>
        <color rgb="FF000000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542926</xdr:colOff>
      <xdr:row>0</xdr:row>
      <xdr:rowOff>76200</xdr:rowOff>
    </xdr:from>
    <xdr:to>
      <xdr:col>10</xdr:col>
      <xdr:colOff>485340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12B0A0-FD1F-4EC3-BB81-42623D452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43826" y="76200"/>
          <a:ext cx="1485464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591110</xdr:colOff>
      <xdr:row>0</xdr:row>
      <xdr:rowOff>7436</xdr:rowOff>
    </xdr:from>
    <xdr:to>
      <xdr:col>3</xdr:col>
      <xdr:colOff>418060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FE2D39-7AA8-4CFD-9322-62779C25B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330698" y="7436"/>
          <a:ext cx="1216480" cy="10431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SALIDAS%20TRANSPARENCIA%202022-20223.xlsx" TargetMode="External"/><Relationship Id="rId1" Type="http://schemas.openxmlformats.org/officeDocument/2006/relationships/externalLinkPath" Target="/personal/eaybar_anamar_gob_do/Documents/Datos%20adjuntos/SALIDAS%20TRANSPARENCIA%202022-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aybar.ANAMAR\Downloads\INVENTARIO%20FINAL%20SEGUIMIENTO.xlsx" TargetMode="External"/><Relationship Id="rId1" Type="http://schemas.openxmlformats.org/officeDocument/2006/relationships/externalLinkPath" Target="file:///C:\Users\Eaybar.ANAMAR\Downloads\INVENTARIO%20FINAL%20SEGUIMIEN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tavares_anamar_gob_do/Documents/Documents/ANAMAR%202022/SALIDAS%20Y%20ENTRADAS%20ALMACEN/SALIDAS%20Y%20ENTRADAS%20ALMACEN/INVENTARIO%20AL%2012%20DE%20ABRIL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DA ABRIL"/>
      <sheetName val="SALIDA MAYO"/>
      <sheetName val="SALIDA JUNIO (2)"/>
      <sheetName val="SALIDA JULIO"/>
      <sheetName val="SALIDA AGOSTO "/>
      <sheetName val="SALIDA SEPTIEMBRE"/>
      <sheetName val="SALIDA OCTUBRE"/>
      <sheetName val="SALIDA NOVIEMBRE (2)"/>
      <sheetName val="SALIDA DICIEMBRE"/>
      <sheetName val="SALIDA ENERO 2023"/>
      <sheetName val="SALIDA FEBRERO 2023"/>
      <sheetName val="SALIDA MARZO 2023"/>
      <sheetName val="SALIDA ABRIL 2023"/>
      <sheetName val="SALIDA MAYO 2023"/>
      <sheetName val="SALIDA JUNIO 2023"/>
      <sheetName val="SALIDA JULIO 2023"/>
      <sheetName val="T1 INVENTARIO 2023"/>
      <sheetName val="INVENTARIO POR CUE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5">
          <cell r="L45">
            <v>19374.198400000001</v>
          </cell>
        </row>
      </sheetData>
      <sheetData sheetId="12">
        <row r="54">
          <cell r="L54">
            <v>18029.061999999994</v>
          </cell>
        </row>
      </sheetData>
      <sheetData sheetId="13">
        <row r="49">
          <cell r="L49">
            <v>22061.012000000002</v>
          </cell>
        </row>
      </sheetData>
      <sheetData sheetId="14">
        <row r="48">
          <cell r="L48">
            <v>25058.083000000006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>
        <row r="7">
          <cell r="C7">
            <v>1000</v>
          </cell>
        </row>
        <row r="8">
          <cell r="C8">
            <v>2062</v>
          </cell>
        </row>
        <row r="9">
          <cell r="C9">
            <v>1001</v>
          </cell>
        </row>
        <row r="10">
          <cell r="C10">
            <v>2125</v>
          </cell>
        </row>
        <row r="11">
          <cell r="C11">
            <v>2180</v>
          </cell>
        </row>
        <row r="12">
          <cell r="C12">
            <v>1003</v>
          </cell>
        </row>
        <row r="13">
          <cell r="C13">
            <v>1004</v>
          </cell>
        </row>
        <row r="14">
          <cell r="C14">
            <v>1005</v>
          </cell>
        </row>
        <row r="15">
          <cell r="C15">
            <v>1006</v>
          </cell>
        </row>
        <row r="16">
          <cell r="C16">
            <v>1010</v>
          </cell>
        </row>
        <row r="17">
          <cell r="C17">
            <v>2074</v>
          </cell>
        </row>
        <row r="18">
          <cell r="C18">
            <v>1011</v>
          </cell>
        </row>
        <row r="19">
          <cell r="C19">
            <v>1012</v>
          </cell>
        </row>
        <row r="20">
          <cell r="C20">
            <v>1013</v>
          </cell>
        </row>
        <row r="21">
          <cell r="C21">
            <v>1014</v>
          </cell>
        </row>
        <row r="22">
          <cell r="C22">
            <v>1016</v>
          </cell>
        </row>
        <row r="23">
          <cell r="C23">
            <v>1017</v>
          </cell>
        </row>
        <row r="24">
          <cell r="C24">
            <v>2067</v>
          </cell>
        </row>
        <row r="25">
          <cell r="C25">
            <v>2134</v>
          </cell>
        </row>
        <row r="26">
          <cell r="C26">
            <v>2184</v>
          </cell>
        </row>
        <row r="27">
          <cell r="C27">
            <v>1019</v>
          </cell>
        </row>
        <row r="28">
          <cell r="C28">
            <v>1021</v>
          </cell>
        </row>
        <row r="29">
          <cell r="C29">
            <v>1022</v>
          </cell>
        </row>
        <row r="30">
          <cell r="C30">
            <v>1023</v>
          </cell>
        </row>
        <row r="31">
          <cell r="C31">
            <v>1024</v>
          </cell>
        </row>
        <row r="32">
          <cell r="C32">
            <v>1025</v>
          </cell>
        </row>
        <row r="33">
          <cell r="C33">
            <v>1026</v>
          </cell>
        </row>
        <row r="34">
          <cell r="C34">
            <v>1028</v>
          </cell>
        </row>
        <row r="35">
          <cell r="C35">
            <v>1029</v>
          </cell>
        </row>
        <row r="36">
          <cell r="C36">
            <v>1030</v>
          </cell>
        </row>
        <row r="37">
          <cell r="C37">
            <v>2137</v>
          </cell>
        </row>
        <row r="38">
          <cell r="C38">
            <v>1031</v>
          </cell>
        </row>
        <row r="39">
          <cell r="C39">
            <v>1032</v>
          </cell>
        </row>
        <row r="40">
          <cell r="C40">
            <v>1033</v>
          </cell>
        </row>
        <row r="41">
          <cell r="C41">
            <v>1034</v>
          </cell>
        </row>
        <row r="42">
          <cell r="C42">
            <v>1035</v>
          </cell>
        </row>
        <row r="43">
          <cell r="C43">
            <v>1036</v>
          </cell>
        </row>
        <row r="44">
          <cell r="C44">
            <v>1037</v>
          </cell>
        </row>
        <row r="45">
          <cell r="C45">
            <v>1038</v>
          </cell>
        </row>
        <row r="46">
          <cell r="C46">
            <v>2126</v>
          </cell>
        </row>
        <row r="47">
          <cell r="C47">
            <v>2096</v>
          </cell>
        </row>
        <row r="48">
          <cell r="C48">
            <v>1040</v>
          </cell>
        </row>
        <row r="49">
          <cell r="C49">
            <v>1043</v>
          </cell>
        </row>
        <row r="50">
          <cell r="C50">
            <v>1044</v>
          </cell>
        </row>
        <row r="51">
          <cell r="C51">
            <v>1047</v>
          </cell>
        </row>
        <row r="52">
          <cell r="C52">
            <v>1048</v>
          </cell>
        </row>
        <row r="53">
          <cell r="C53">
            <v>1049</v>
          </cell>
        </row>
        <row r="54">
          <cell r="C54">
            <v>2075</v>
          </cell>
        </row>
        <row r="55">
          <cell r="C55">
            <v>1051</v>
          </cell>
        </row>
        <row r="56">
          <cell r="C56">
            <v>2063</v>
          </cell>
        </row>
        <row r="57">
          <cell r="C57">
            <v>2127</v>
          </cell>
        </row>
        <row r="58">
          <cell r="C58">
            <v>1052</v>
          </cell>
        </row>
        <row r="59">
          <cell r="C59">
            <v>1057</v>
          </cell>
        </row>
        <row r="60">
          <cell r="C60">
            <v>1059</v>
          </cell>
        </row>
        <row r="61">
          <cell r="C61">
            <v>2064</v>
          </cell>
        </row>
        <row r="62">
          <cell r="C62">
            <v>2181</v>
          </cell>
        </row>
        <row r="63">
          <cell r="C63">
            <v>1060</v>
          </cell>
        </row>
        <row r="64">
          <cell r="C64">
            <v>1062</v>
          </cell>
        </row>
        <row r="65">
          <cell r="C65">
            <v>1063</v>
          </cell>
        </row>
        <row r="66">
          <cell r="C66">
            <v>2128</v>
          </cell>
        </row>
        <row r="67">
          <cell r="C67">
            <v>1065</v>
          </cell>
        </row>
        <row r="68">
          <cell r="C68">
            <v>1066</v>
          </cell>
        </row>
        <row r="69">
          <cell r="C69">
            <v>1068</v>
          </cell>
        </row>
        <row r="70">
          <cell r="C70">
            <v>1070</v>
          </cell>
        </row>
        <row r="71">
          <cell r="C71">
            <v>1071</v>
          </cell>
        </row>
        <row r="72">
          <cell r="C72">
            <v>1073</v>
          </cell>
        </row>
        <row r="73">
          <cell r="C73">
            <v>2070</v>
          </cell>
        </row>
        <row r="74">
          <cell r="C74">
            <v>1074</v>
          </cell>
        </row>
        <row r="75">
          <cell r="C75">
            <v>1075</v>
          </cell>
        </row>
        <row r="76">
          <cell r="C76">
            <v>2068</v>
          </cell>
        </row>
        <row r="77">
          <cell r="C77">
            <v>1076</v>
          </cell>
        </row>
        <row r="78">
          <cell r="C78">
            <v>1077</v>
          </cell>
        </row>
        <row r="79">
          <cell r="C79">
            <v>2069</v>
          </cell>
        </row>
        <row r="80">
          <cell r="C80">
            <v>2135</v>
          </cell>
        </row>
        <row r="81">
          <cell r="C81">
            <v>1080</v>
          </cell>
        </row>
        <row r="82">
          <cell r="C82">
            <v>1081</v>
          </cell>
        </row>
        <row r="83">
          <cell r="C83">
            <v>2073</v>
          </cell>
        </row>
        <row r="84">
          <cell r="C84">
            <v>1082</v>
          </cell>
        </row>
        <row r="85">
          <cell r="C85">
            <v>1083</v>
          </cell>
        </row>
        <row r="86">
          <cell r="C86">
            <v>1084</v>
          </cell>
        </row>
        <row r="87">
          <cell r="C87">
            <v>1085</v>
          </cell>
        </row>
        <row r="88">
          <cell r="C88">
            <v>2138</v>
          </cell>
        </row>
        <row r="89">
          <cell r="C89">
            <v>1086</v>
          </cell>
        </row>
        <row r="90">
          <cell r="C90">
            <v>2072</v>
          </cell>
        </row>
        <row r="91">
          <cell r="C91">
            <v>1087</v>
          </cell>
        </row>
        <row r="92">
          <cell r="C92">
            <v>1088</v>
          </cell>
        </row>
        <row r="93">
          <cell r="C93">
            <v>1091</v>
          </cell>
        </row>
        <row r="94">
          <cell r="C94">
            <v>2130</v>
          </cell>
        </row>
        <row r="95">
          <cell r="C95">
            <v>1093</v>
          </cell>
        </row>
        <row r="96">
          <cell r="C96">
            <v>2131</v>
          </cell>
        </row>
        <row r="97">
          <cell r="C97">
            <v>1095</v>
          </cell>
        </row>
        <row r="98">
          <cell r="C98">
            <v>2133</v>
          </cell>
        </row>
        <row r="99">
          <cell r="C99">
            <v>1097</v>
          </cell>
        </row>
        <row r="100">
          <cell r="C100">
            <v>2065</v>
          </cell>
        </row>
        <row r="101">
          <cell r="C101">
            <v>2129</v>
          </cell>
        </row>
        <row r="102">
          <cell r="C102">
            <v>1099</v>
          </cell>
        </row>
        <row r="103">
          <cell r="C103">
            <v>1098</v>
          </cell>
        </row>
        <row r="104">
          <cell r="C104">
            <v>1100</v>
          </cell>
        </row>
        <row r="105">
          <cell r="C105">
            <v>1101</v>
          </cell>
        </row>
        <row r="106">
          <cell r="C106">
            <v>1103</v>
          </cell>
        </row>
        <row r="107">
          <cell r="C107">
            <v>1106</v>
          </cell>
        </row>
        <row r="108">
          <cell r="C108">
            <v>1107</v>
          </cell>
        </row>
        <row r="109">
          <cell r="C109">
            <v>1108</v>
          </cell>
        </row>
        <row r="110">
          <cell r="C110">
            <v>1109</v>
          </cell>
        </row>
        <row r="111">
          <cell r="C111">
            <v>1111</v>
          </cell>
        </row>
        <row r="112">
          <cell r="C112">
            <v>1112</v>
          </cell>
        </row>
        <row r="113">
          <cell r="C113">
            <v>1113</v>
          </cell>
        </row>
        <row r="114">
          <cell r="C114">
            <v>1114</v>
          </cell>
        </row>
        <row r="115">
          <cell r="C115">
            <v>1115</v>
          </cell>
        </row>
        <row r="116">
          <cell r="C116">
            <v>1117</v>
          </cell>
        </row>
        <row r="117">
          <cell r="C117">
            <v>1119</v>
          </cell>
        </row>
        <row r="118">
          <cell r="C118">
            <v>1120</v>
          </cell>
        </row>
        <row r="119">
          <cell r="C119">
            <v>1122</v>
          </cell>
        </row>
        <row r="120">
          <cell r="C120">
            <v>1123</v>
          </cell>
        </row>
        <row r="121">
          <cell r="C121">
            <v>1124</v>
          </cell>
        </row>
        <row r="122">
          <cell r="C122">
            <v>1125</v>
          </cell>
        </row>
        <row r="123">
          <cell r="C123">
            <v>2183</v>
          </cell>
        </row>
        <row r="124">
          <cell r="C124">
            <v>1126</v>
          </cell>
        </row>
        <row r="125">
          <cell r="C125">
            <v>1127</v>
          </cell>
        </row>
        <row r="126">
          <cell r="C126">
            <v>1128</v>
          </cell>
        </row>
        <row r="127">
          <cell r="C127">
            <v>1130</v>
          </cell>
        </row>
        <row r="128">
          <cell r="C128">
            <v>1129</v>
          </cell>
        </row>
        <row r="129">
          <cell r="C129">
            <v>1131</v>
          </cell>
        </row>
        <row r="130">
          <cell r="C130">
            <v>1132</v>
          </cell>
        </row>
        <row r="131">
          <cell r="C131">
            <v>1133</v>
          </cell>
        </row>
        <row r="132">
          <cell r="C132">
            <v>2071</v>
          </cell>
        </row>
        <row r="133">
          <cell r="C133">
            <v>1140</v>
          </cell>
        </row>
        <row r="134">
          <cell r="C134">
            <v>1141</v>
          </cell>
        </row>
        <row r="135">
          <cell r="C135">
            <v>2066</v>
          </cell>
        </row>
        <row r="136">
          <cell r="C136">
            <v>1142</v>
          </cell>
        </row>
        <row r="137">
          <cell r="C137">
            <v>1143</v>
          </cell>
        </row>
        <row r="138">
          <cell r="C138">
            <v>1144</v>
          </cell>
        </row>
        <row r="139">
          <cell r="C139">
            <v>2185</v>
          </cell>
        </row>
        <row r="140">
          <cell r="C140">
            <v>1145</v>
          </cell>
        </row>
        <row r="141">
          <cell r="C141">
            <v>1146</v>
          </cell>
        </row>
        <row r="142">
          <cell r="C142">
            <v>1147</v>
          </cell>
        </row>
        <row r="143">
          <cell r="C143">
            <v>1148</v>
          </cell>
        </row>
        <row r="144">
          <cell r="C144">
            <v>1150</v>
          </cell>
        </row>
        <row r="145">
          <cell r="C145">
            <v>1153</v>
          </cell>
        </row>
        <row r="146">
          <cell r="C146">
            <v>2132</v>
          </cell>
        </row>
        <row r="147">
          <cell r="C147">
            <v>2182</v>
          </cell>
        </row>
        <row r="148">
          <cell r="C148">
            <v>1154</v>
          </cell>
        </row>
        <row r="149">
          <cell r="C149">
            <v>1155</v>
          </cell>
        </row>
        <row r="150">
          <cell r="C150">
            <v>2136</v>
          </cell>
        </row>
        <row r="151">
          <cell r="C151">
            <v>1156</v>
          </cell>
        </row>
        <row r="152">
          <cell r="C152">
            <v>1158</v>
          </cell>
        </row>
        <row r="153">
          <cell r="C153">
            <v>1161</v>
          </cell>
        </row>
        <row r="154">
          <cell r="C154">
            <v>2156</v>
          </cell>
        </row>
        <row r="155">
          <cell r="C155">
            <v>2000</v>
          </cell>
        </row>
        <row r="156">
          <cell r="C156">
            <v>2097</v>
          </cell>
        </row>
        <row r="157">
          <cell r="C157">
            <v>2139</v>
          </cell>
        </row>
        <row r="158">
          <cell r="C158">
            <v>2167</v>
          </cell>
        </row>
        <row r="159">
          <cell r="C159">
            <v>2008</v>
          </cell>
        </row>
        <row r="160">
          <cell r="C160">
            <v>2009</v>
          </cell>
        </row>
        <row r="161">
          <cell r="C161">
            <v>2140</v>
          </cell>
        </row>
        <row r="162">
          <cell r="C162">
            <v>2164</v>
          </cell>
        </row>
        <row r="163">
          <cell r="C163">
            <v>2010</v>
          </cell>
        </row>
        <row r="164">
          <cell r="C164">
            <v>2011</v>
          </cell>
        </row>
        <row r="165">
          <cell r="C165">
            <v>2098</v>
          </cell>
        </row>
        <row r="166">
          <cell r="C166">
            <v>2162</v>
          </cell>
        </row>
        <row r="167">
          <cell r="C167">
            <v>2168</v>
          </cell>
        </row>
        <row r="168">
          <cell r="C168">
            <v>2014</v>
          </cell>
        </row>
        <row r="169">
          <cell r="C169">
            <v>2016</v>
          </cell>
        </row>
        <row r="170">
          <cell r="C170">
            <v>2100</v>
          </cell>
        </row>
        <row r="171">
          <cell r="C171">
            <v>2141</v>
          </cell>
        </row>
        <row r="172">
          <cell r="C172">
            <v>2169</v>
          </cell>
        </row>
        <row r="173">
          <cell r="C173">
            <v>2017</v>
          </cell>
        </row>
        <row r="174">
          <cell r="C174">
            <v>2101</v>
          </cell>
        </row>
        <row r="175">
          <cell r="C175">
            <v>2018</v>
          </cell>
        </row>
        <row r="176">
          <cell r="C176">
            <v>2102</v>
          </cell>
        </row>
        <row r="177">
          <cell r="C177">
            <v>2019</v>
          </cell>
        </row>
        <row r="178">
          <cell r="C178">
            <v>2103</v>
          </cell>
        </row>
        <row r="179">
          <cell r="C179">
            <v>2020</v>
          </cell>
        </row>
        <row r="180">
          <cell r="C180">
            <v>2163</v>
          </cell>
        </row>
        <row r="181">
          <cell r="C181">
            <v>2107</v>
          </cell>
        </row>
        <row r="182">
          <cell r="C182">
            <v>2166</v>
          </cell>
        </row>
        <row r="183">
          <cell r="C183">
            <v>2022</v>
          </cell>
        </row>
        <row r="184">
          <cell r="C184">
            <v>2024</v>
          </cell>
        </row>
        <row r="185">
          <cell r="C185">
            <v>2161</v>
          </cell>
        </row>
        <row r="186">
          <cell r="C186">
            <v>2174</v>
          </cell>
        </row>
        <row r="187">
          <cell r="C187">
            <v>2106</v>
          </cell>
        </row>
        <row r="188">
          <cell r="C188">
            <v>2160</v>
          </cell>
        </row>
        <row r="189">
          <cell r="C189">
            <v>2165</v>
          </cell>
        </row>
        <row r="190">
          <cell r="C190">
            <v>2027</v>
          </cell>
        </row>
        <row r="191">
          <cell r="C191">
            <v>2109</v>
          </cell>
        </row>
        <row r="192">
          <cell r="C192">
            <v>2175</v>
          </cell>
        </row>
        <row r="193">
          <cell r="C193">
            <v>2028</v>
          </cell>
        </row>
        <row r="194">
          <cell r="C194">
            <v>2111</v>
          </cell>
        </row>
        <row r="195">
          <cell r="C195">
            <v>2144</v>
          </cell>
        </row>
        <row r="196">
          <cell r="C196">
            <v>2172</v>
          </cell>
        </row>
        <row r="197">
          <cell r="C197">
            <v>2030</v>
          </cell>
        </row>
        <row r="198">
          <cell r="C198">
            <v>2155</v>
          </cell>
        </row>
        <row r="199">
          <cell r="C199">
            <v>2031</v>
          </cell>
        </row>
        <row r="200">
          <cell r="C200">
            <v>2104</v>
          </cell>
        </row>
        <row r="201">
          <cell r="C201">
            <v>2158</v>
          </cell>
        </row>
        <row r="202">
          <cell r="C202">
            <v>2032</v>
          </cell>
        </row>
        <row r="203">
          <cell r="C203">
            <v>2110</v>
          </cell>
        </row>
        <row r="204">
          <cell r="C204">
            <v>2143</v>
          </cell>
        </row>
        <row r="205">
          <cell r="C205">
            <v>2034</v>
          </cell>
        </row>
        <row r="206">
          <cell r="C206">
            <v>2035</v>
          </cell>
        </row>
        <row r="207">
          <cell r="C207">
            <v>2112</v>
          </cell>
        </row>
        <row r="208">
          <cell r="C208">
            <v>2145</v>
          </cell>
        </row>
        <row r="209">
          <cell r="C209">
            <v>2037</v>
          </cell>
        </row>
        <row r="210">
          <cell r="C210">
            <v>2113</v>
          </cell>
        </row>
        <row r="211">
          <cell r="C211">
            <v>2146</v>
          </cell>
        </row>
        <row r="212">
          <cell r="C212">
            <v>2171</v>
          </cell>
        </row>
        <row r="213">
          <cell r="C213">
            <v>2038</v>
          </cell>
        </row>
        <row r="214">
          <cell r="C214">
            <v>2118</v>
          </cell>
        </row>
        <row r="215">
          <cell r="C215">
            <v>2148</v>
          </cell>
        </row>
        <row r="216">
          <cell r="C216">
            <v>2039</v>
          </cell>
        </row>
        <row r="217">
          <cell r="C217">
            <v>2119</v>
          </cell>
        </row>
        <row r="218">
          <cell r="C218">
            <v>2149</v>
          </cell>
        </row>
        <row r="219">
          <cell r="C219">
            <v>2040</v>
          </cell>
        </row>
        <row r="220">
          <cell r="C220">
            <v>2120</v>
          </cell>
        </row>
        <row r="221">
          <cell r="C221">
            <v>2150</v>
          </cell>
        </row>
        <row r="222">
          <cell r="C222">
            <v>2041</v>
          </cell>
        </row>
        <row r="223">
          <cell r="C223">
            <v>2157</v>
          </cell>
        </row>
        <row r="224">
          <cell r="C224">
            <v>2042</v>
          </cell>
        </row>
        <row r="225">
          <cell r="C225">
            <v>2121</v>
          </cell>
        </row>
        <row r="226">
          <cell r="C226">
            <v>2151</v>
          </cell>
        </row>
        <row r="227">
          <cell r="C227">
            <v>2178</v>
          </cell>
        </row>
        <row r="228">
          <cell r="C228">
            <v>2043</v>
          </cell>
        </row>
        <row r="229">
          <cell r="C229">
            <v>2044</v>
          </cell>
        </row>
        <row r="230">
          <cell r="C230">
            <v>2046</v>
          </cell>
        </row>
        <row r="231">
          <cell r="C231">
            <v>2122</v>
          </cell>
        </row>
        <row r="232">
          <cell r="C232">
            <v>2154</v>
          </cell>
        </row>
        <row r="233">
          <cell r="C233">
            <v>2114</v>
          </cell>
        </row>
        <row r="234">
          <cell r="C234">
            <v>2047</v>
          </cell>
        </row>
        <row r="235">
          <cell r="C235">
            <v>2115</v>
          </cell>
        </row>
        <row r="236">
          <cell r="C236">
            <v>2153</v>
          </cell>
        </row>
        <row r="237">
          <cell r="C237">
            <v>2048</v>
          </cell>
        </row>
        <row r="238">
          <cell r="C238">
            <v>2105</v>
          </cell>
        </row>
        <row r="239">
          <cell r="C239">
            <v>2159</v>
          </cell>
        </row>
        <row r="240">
          <cell r="C240">
            <v>2170</v>
          </cell>
        </row>
        <row r="241">
          <cell r="C241">
            <v>2050</v>
          </cell>
        </row>
        <row r="242">
          <cell r="C242">
            <v>2116</v>
          </cell>
        </row>
        <row r="243">
          <cell r="C243">
            <v>2051</v>
          </cell>
        </row>
        <row r="244">
          <cell r="C244">
            <v>2052</v>
          </cell>
        </row>
        <row r="245">
          <cell r="C245">
            <v>2053</v>
          </cell>
        </row>
        <row r="246">
          <cell r="C246">
            <v>2108</v>
          </cell>
        </row>
        <row r="247">
          <cell r="C247">
            <v>2142</v>
          </cell>
        </row>
        <row r="248">
          <cell r="C248">
            <v>2054</v>
          </cell>
        </row>
        <row r="249">
          <cell r="C249">
            <v>2099</v>
          </cell>
        </row>
        <row r="250">
          <cell r="C250">
            <v>2176</v>
          </cell>
        </row>
        <row r="251">
          <cell r="C251">
            <v>2055</v>
          </cell>
        </row>
        <row r="252">
          <cell r="C252">
            <v>2177</v>
          </cell>
        </row>
        <row r="253">
          <cell r="C253">
            <v>2056</v>
          </cell>
        </row>
        <row r="254">
          <cell r="C254">
            <v>2057</v>
          </cell>
        </row>
        <row r="255">
          <cell r="C255">
            <v>2058</v>
          </cell>
        </row>
        <row r="256">
          <cell r="C256">
            <v>2123</v>
          </cell>
        </row>
        <row r="257">
          <cell r="C257">
            <v>2152</v>
          </cell>
        </row>
        <row r="258">
          <cell r="C258">
            <v>2059</v>
          </cell>
        </row>
        <row r="259">
          <cell r="C259">
            <v>2117</v>
          </cell>
        </row>
        <row r="260">
          <cell r="C260">
            <v>2147</v>
          </cell>
        </row>
        <row r="261">
          <cell r="C261">
            <v>2173</v>
          </cell>
        </row>
        <row r="262">
          <cell r="C262">
            <v>2061</v>
          </cell>
        </row>
        <row r="263">
          <cell r="C263">
            <v>2076</v>
          </cell>
        </row>
        <row r="264">
          <cell r="C264">
            <v>2077</v>
          </cell>
        </row>
        <row r="265">
          <cell r="C265">
            <v>2078</v>
          </cell>
        </row>
        <row r="266">
          <cell r="C266">
            <v>2079</v>
          </cell>
        </row>
        <row r="267">
          <cell r="C267">
            <v>2080</v>
          </cell>
        </row>
        <row r="268">
          <cell r="C268">
            <v>2081</v>
          </cell>
        </row>
        <row r="269">
          <cell r="C269">
            <v>2082</v>
          </cell>
        </row>
        <row r="270">
          <cell r="C270">
            <v>2083</v>
          </cell>
        </row>
        <row r="271">
          <cell r="C271">
            <v>2084</v>
          </cell>
        </row>
        <row r="272">
          <cell r="C272">
            <v>2085</v>
          </cell>
        </row>
        <row r="273">
          <cell r="C273">
            <v>2086</v>
          </cell>
        </row>
        <row r="274">
          <cell r="C274">
            <v>2087</v>
          </cell>
        </row>
        <row r="275">
          <cell r="C275">
            <v>2088</v>
          </cell>
        </row>
        <row r="276">
          <cell r="C276">
            <v>2089</v>
          </cell>
        </row>
        <row r="277">
          <cell r="C277">
            <v>2090</v>
          </cell>
        </row>
        <row r="278">
          <cell r="C278">
            <v>2091</v>
          </cell>
        </row>
        <row r="279">
          <cell r="C279">
            <v>2092</v>
          </cell>
        </row>
        <row r="280">
          <cell r="C280">
            <v>2093</v>
          </cell>
        </row>
        <row r="281">
          <cell r="C281">
            <v>2094</v>
          </cell>
        </row>
        <row r="282">
          <cell r="C282">
            <v>2095</v>
          </cell>
        </row>
        <row r="283">
          <cell r="C283">
            <v>2179</v>
          </cell>
        </row>
        <row r="284">
          <cell r="C284">
            <v>2186</v>
          </cell>
        </row>
        <row r="285">
          <cell r="C285">
            <v>2124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CA6E9-8AEC-4A3E-9D84-AD2C10C12E0D}" name="Table1" displayName="Table1" ref="A6:K287" totalsRowCount="1" headerRowDxfId="24" dataDxfId="11">
  <autoFilter ref="A6:K286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4FF8D35-3F80-4323-9CA5-82C0BB998524}" name="Periodo de adquisición" dataDxfId="22" totalsRowDxfId="10"/>
    <tableColumn id="2" xr3:uid="{08DD772C-B6B4-4A33-BF6D-EDE2350681DF}" name="Fecha de Registro" dataDxfId="21" totalsRowDxfId="9"/>
    <tableColumn id="3" xr3:uid="{4D8E6941-44AE-45F7-B8DB-F1DB76B97515}" name="Código Institucional" dataDxfId="20" totalsRowDxfId="8"/>
    <tableColumn id="4" xr3:uid="{0BB79C11-10C4-41A9-A6BD-64F96A02D53F}" name="Breve Descripción del Bien" dataDxfId="19" totalsRowDxfId="7"/>
    <tableColumn id="5" xr3:uid="{A3BAFA7B-867E-48B7-A2F4-638B5A1ACFF7}" name="Existencia" dataDxfId="18" totalsRowDxfId="6"/>
    <tableColumn id="6" xr3:uid="{00EE7831-A3A8-4CC6-B315-499C4A0FA75D}" name="Medida" dataDxfId="17" totalsRowDxfId="5"/>
    <tableColumn id="11" xr3:uid="{387479B2-DE44-495C-99D6-952A3A41575D}" name="Qty Entrada" dataDxfId="16" totalsRowDxfId="4"/>
    <tableColumn id="10" xr3:uid="{AA5DFEAE-5CC6-4E19-A43A-CDEE12E4FD22}" name="Qty Salida" dataDxfId="15" totalsRowDxfId="3"/>
    <tableColumn id="7" xr3:uid="{2057D37A-1D24-4119-8591-E9E53C4484F2}" name="Precio" dataDxfId="14" totalsRowDxfId="2" dataCellStyle="Currency"/>
    <tableColumn id="8" xr3:uid="{03DB1FA8-4123-492E-833A-C3C5C8D99CB3}" name="ITBS" dataDxfId="13" totalsRowDxfId="1"/>
    <tableColumn id="9" xr3:uid="{E1FC7AAB-4914-4E7D-82E3-2048DA8522B6}" name="Valores RD$" dataDxfId="12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C4F0-3D17-4080-B8F1-C5D879875B02}">
  <sheetPr>
    <pageSetUpPr fitToPage="1"/>
  </sheetPr>
  <dimension ref="A1:CF297"/>
  <sheetViews>
    <sheetView tabSelected="1" zoomScaleNormal="100" zoomScaleSheetLayoutView="85" workbookViewId="0">
      <pane ySplit="6" topLeftCell="A7" activePane="bottomLeft" state="frozen"/>
      <selection pane="bottomLeft" activeCell="J24" sqref="J24"/>
    </sheetView>
  </sheetViews>
  <sheetFormatPr defaultColWidth="9.140625" defaultRowHeight="15" x14ac:dyDescent="0.25"/>
  <cols>
    <col min="1" max="1" width="11.140625" style="2" bestFit="1" customWidth="1"/>
    <col min="2" max="2" width="8.85546875" style="2" bestFit="1" customWidth="1"/>
    <col min="3" max="3" width="12" style="3" bestFit="1" customWidth="1"/>
    <col min="4" max="4" width="40" bestFit="1" customWidth="1"/>
    <col min="5" max="5" width="9.85546875" style="2" bestFit="1" customWidth="1"/>
    <col min="6" max="6" width="8.7109375" style="2" bestFit="1" customWidth="1"/>
    <col min="7" max="7" width="11.28515625" style="2" bestFit="1" customWidth="1"/>
    <col min="8" max="8" width="9.85546875" style="2" bestFit="1" customWidth="1"/>
    <col min="9" max="9" width="10.5703125" style="4" bestFit="1" customWidth="1"/>
    <col min="10" max="11" width="12.5703125" style="2" bestFit="1" customWidth="1"/>
    <col min="12" max="12" width="15.5703125" customWidth="1"/>
    <col min="13" max="15" width="12.5703125" bestFit="1" customWidth="1"/>
    <col min="16" max="16" width="10.5703125" bestFit="1" customWidth="1"/>
    <col min="17" max="17" width="14.28515625" bestFit="1" customWidth="1"/>
  </cols>
  <sheetData>
    <row r="1" spans="1:84" ht="23.25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1"/>
      <c r="K1" s="1"/>
    </row>
    <row r="2" spans="1:84" ht="18.7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84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84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84" x14ac:dyDescent="0.25">
      <c r="P5" s="5"/>
      <c r="Q5" s="5"/>
    </row>
    <row r="6" spans="1:84" ht="41.25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J6" s="6" t="s">
        <v>12</v>
      </c>
      <c r="K6" s="8" t="s">
        <v>13</v>
      </c>
    </row>
    <row r="7" spans="1:84" x14ac:dyDescent="0.25">
      <c r="A7" s="9">
        <v>43594</v>
      </c>
      <c r="B7" s="10">
        <v>44687</v>
      </c>
      <c r="C7" s="11">
        <v>1000</v>
      </c>
      <c r="D7" s="12" t="s">
        <v>14</v>
      </c>
      <c r="E7" s="13">
        <f>[2]!Table1[[#This Row],[Qty Entrada]]-[2]!Table1[[#This Row],[Qty Salida]]</f>
        <v>0</v>
      </c>
      <c r="F7" s="14" t="s">
        <v>15</v>
      </c>
      <c r="G7" s="14">
        <f>SUMIF([2]!Table3[Código Institucional],[2]Existencia!C7:C229,[2]!Table3[Cantidad])</f>
        <v>99</v>
      </c>
      <c r="H7" s="14">
        <f>SUMIF([2]!Table2[Código Institucional],[2]Existencia!C7:C229,[2]!Table2[Cantidad])</f>
        <v>99</v>
      </c>
      <c r="I7" s="15">
        <v>305</v>
      </c>
      <c r="J7" s="16">
        <f t="shared" ref="J7:J65" si="0">I7*18%*E7</f>
        <v>0</v>
      </c>
      <c r="K7" s="17">
        <f>E7*I7+J7</f>
        <v>0</v>
      </c>
    </row>
    <row r="8" spans="1:84" x14ac:dyDescent="0.25">
      <c r="A8" s="18"/>
      <c r="B8" s="19"/>
      <c r="C8" s="20">
        <v>2062</v>
      </c>
      <c r="D8" s="21" t="s">
        <v>16</v>
      </c>
      <c r="E8" s="13">
        <f>[2]!Table1[[#This Row],[Qty Entrada]]-[2]!Table1[[#This Row],[Qty Salida]]</f>
        <v>44</v>
      </c>
      <c r="F8" s="14" t="s">
        <v>15</v>
      </c>
      <c r="G8" s="14">
        <f>SUMIF([2]!Table3[Código Institucional],[2]Existencia!C8:C230,[2]!Table3[Cantidad])</f>
        <v>50</v>
      </c>
      <c r="H8" s="14">
        <f>SUMIF([2]!Table2[Código Institucional],[2]Existencia!C8:C230,[2]!Table2[Cantidad])</f>
        <v>6</v>
      </c>
      <c r="I8" s="15">
        <v>320</v>
      </c>
      <c r="J8" s="16">
        <f>I8*18%*E8</f>
        <v>2534.3999999999996</v>
      </c>
      <c r="K8" s="17">
        <f>E8*I8+J8</f>
        <v>16614.400000000001</v>
      </c>
    </row>
    <row r="9" spans="1:84" x14ac:dyDescent="0.25">
      <c r="A9" s="18">
        <v>43594</v>
      </c>
      <c r="B9" s="22">
        <v>44315</v>
      </c>
      <c r="C9" s="11">
        <v>1001</v>
      </c>
      <c r="D9" s="12" t="s">
        <v>17</v>
      </c>
      <c r="E9" s="13">
        <f>[2]!Table1[[#This Row],[Qty Entrada]]-[2]!Table1[[#This Row],[Qty Salida]]</f>
        <v>19</v>
      </c>
      <c r="F9" s="14" t="s">
        <v>15</v>
      </c>
      <c r="G9" s="14">
        <f>SUMIF([2]!Table3[Código Institucional],[2]Existencia!C9:C230,[2]!Table3[Cantidad])</f>
        <v>19</v>
      </c>
      <c r="H9" s="14">
        <f>SUMIF([2]!Table2[Código Institucional],[2]Existencia!C9:C230,[2]!Table2[Cantidad])</f>
        <v>0</v>
      </c>
      <c r="I9" s="15">
        <v>295</v>
      </c>
      <c r="J9" s="16">
        <f t="shared" si="0"/>
        <v>1008.9</v>
      </c>
      <c r="K9" s="17">
        <f t="shared" ref="K9:K72" si="1">E9*I9+J9</f>
        <v>6613.9</v>
      </c>
    </row>
    <row r="10" spans="1:84" s="23" customFormat="1" x14ac:dyDescent="0.25">
      <c r="A10" s="18"/>
      <c r="B10" s="22"/>
      <c r="C10" s="20">
        <v>2125</v>
      </c>
      <c r="D10" s="21" t="s">
        <v>18</v>
      </c>
      <c r="E10" s="13">
        <f>[2]!Table1[[#This Row],[Qty Entrada]]-[2]!Table1[[#This Row],[Qty Salida]]</f>
        <v>25</v>
      </c>
      <c r="F10" s="14" t="s">
        <v>15</v>
      </c>
      <c r="G10" s="14">
        <f>SUMIF([2]!Table3[Código Institucional],[2]Existencia!C10:C233,[2]!Table3[Cantidad])</f>
        <v>25</v>
      </c>
      <c r="H10" s="14">
        <f>SUMIF([2]!Table2[Código Institucional],[2]Existencia!C10:C233,[2]!Table2[Cantidad])</f>
        <v>0</v>
      </c>
      <c r="I10" s="15">
        <v>316.8</v>
      </c>
      <c r="J10" s="16">
        <f>I10*18%*E10</f>
        <v>1425.6</v>
      </c>
      <c r="K10" s="17">
        <f>E10*I10+J10</f>
        <v>9345.6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x14ac:dyDescent="0.25">
      <c r="A11" s="18"/>
      <c r="B11" s="22"/>
      <c r="C11" s="20">
        <v>2180</v>
      </c>
      <c r="D11" s="21" t="s">
        <v>277</v>
      </c>
      <c r="E11" s="13">
        <f>[2]!Table1[[#This Row],[Qty Entrada]]-[2]!Table1[[#This Row],[Qty Salida]]</f>
        <v>25</v>
      </c>
      <c r="F11" s="14" t="s">
        <v>15</v>
      </c>
      <c r="G11" s="14">
        <f>SUMIF([2]!Table3[Código Institucional],[2]Existencia!C11:C233,[2]!Table3[Cantidad])</f>
        <v>25</v>
      </c>
      <c r="H11" s="14">
        <f>SUMIF([2]!Table2[Código Institucional],[2]Existencia!C11:C233,[2]!Table2[Cantidad])</f>
        <v>0</v>
      </c>
      <c r="I11" s="15">
        <v>285</v>
      </c>
      <c r="J11" s="16">
        <f>I11*18%*E11</f>
        <v>1282.5</v>
      </c>
      <c r="K11" s="17">
        <f>E11*I11+J11</f>
        <v>8407.5</v>
      </c>
    </row>
    <row r="12" spans="1:84" x14ac:dyDescent="0.25">
      <c r="A12" s="9">
        <v>43594</v>
      </c>
      <c r="B12" s="10">
        <v>44687</v>
      </c>
      <c r="C12" s="11">
        <v>1003</v>
      </c>
      <c r="D12" s="12" t="s">
        <v>19</v>
      </c>
      <c r="E12" s="13">
        <f>[2]!Table1[[#This Row],[Qty Entrada]]-[2]!Table1[[#This Row],[Qty Salida]]</f>
        <v>3</v>
      </c>
      <c r="F12" s="14" t="s">
        <v>15</v>
      </c>
      <c r="G12" s="14">
        <f>SUMIF([2]!Table3[Código Institucional],[2]Existencia!C12:C286,[2]!Table3[Cantidad])</f>
        <v>3</v>
      </c>
      <c r="H12" s="14">
        <f>SUMIF([2]!Table2[Código Institucional],[2]Existencia!C12:C286,[2]!Table2[Cantidad])</f>
        <v>0</v>
      </c>
      <c r="I12" s="15">
        <v>330.75</v>
      </c>
      <c r="J12" s="16">
        <f t="shared" si="0"/>
        <v>178.60499999999999</v>
      </c>
      <c r="K12" s="17">
        <f t="shared" si="1"/>
        <v>1170.855</v>
      </c>
    </row>
    <row r="13" spans="1:84" x14ac:dyDescent="0.25">
      <c r="A13" s="18">
        <v>43594</v>
      </c>
      <c r="B13" s="19">
        <v>43717</v>
      </c>
      <c r="C13" s="11">
        <v>1004</v>
      </c>
      <c r="D13" s="12" t="s">
        <v>20</v>
      </c>
      <c r="E13" s="13">
        <f>[2]!Table1[[#This Row],[Qty Entrada]]-[2]!Table1[[#This Row],[Qty Salida]]</f>
        <v>3</v>
      </c>
      <c r="F13" s="14" t="s">
        <v>15</v>
      </c>
      <c r="G13" s="14">
        <f>SUMIF([2]!Table3[Código Institucional],[2]Existencia!C13:C287,[2]!Table3[Cantidad])</f>
        <v>3</v>
      </c>
      <c r="H13" s="14">
        <f>SUMIF([2]!Table2[Código Institucional],[2]Existencia!C13:C287,[2]!Table2[Cantidad])</f>
        <v>0</v>
      </c>
      <c r="I13" s="15">
        <v>430</v>
      </c>
      <c r="J13" s="16">
        <f t="shared" si="0"/>
        <v>232.2</v>
      </c>
      <c r="K13" s="17">
        <f t="shared" si="1"/>
        <v>1522.2</v>
      </c>
    </row>
    <row r="14" spans="1:84" x14ac:dyDescent="0.25">
      <c r="A14" s="9">
        <v>43594</v>
      </c>
      <c r="B14" s="10">
        <v>43717</v>
      </c>
      <c r="C14" s="11">
        <v>1005</v>
      </c>
      <c r="D14" s="12" t="s">
        <v>21</v>
      </c>
      <c r="E14" s="13">
        <f>[2]!Table1[[#This Row],[Qty Entrada]]-[2]!Table1[[#This Row],[Qty Salida]]</f>
        <v>3</v>
      </c>
      <c r="F14" s="14" t="s">
        <v>15</v>
      </c>
      <c r="G14" s="14">
        <f>SUMIF([2]!Table3[Código Institucional],[2]Existencia!C14:C288,[2]!Table3[Cantidad])</f>
        <v>3</v>
      </c>
      <c r="H14" s="14">
        <f>SUMIF([2]!Table2[Código Institucional],[2]Existencia!C14:C288,[2]!Table2[Cantidad])</f>
        <v>0</v>
      </c>
      <c r="I14" s="15">
        <v>525</v>
      </c>
      <c r="J14" s="16">
        <f t="shared" si="0"/>
        <v>283.5</v>
      </c>
      <c r="K14" s="17">
        <f t="shared" si="1"/>
        <v>1858.5</v>
      </c>
    </row>
    <row r="15" spans="1:84" x14ac:dyDescent="0.25">
      <c r="A15" s="18">
        <v>43594</v>
      </c>
      <c r="B15" s="19">
        <v>43717</v>
      </c>
      <c r="C15" s="11">
        <v>1006</v>
      </c>
      <c r="D15" s="12" t="s">
        <v>22</v>
      </c>
      <c r="E15" s="13">
        <f>[2]!Table1[[#This Row],[Qty Entrada]]-[2]!Table1[[#This Row],[Qty Salida]]</f>
        <v>4</v>
      </c>
      <c r="F15" s="14" t="s">
        <v>15</v>
      </c>
      <c r="G15" s="14">
        <f>SUMIF([2]!Table3[Código Institucional],[2]Existencia!C15:C289,[2]!Table3[Cantidad])</f>
        <v>4</v>
      </c>
      <c r="H15" s="14">
        <f>SUMIF([2]!Table2[Código Institucional],[2]Existencia!C15:C289,[2]!Table2[Cantidad])</f>
        <v>0</v>
      </c>
      <c r="I15" s="15">
        <v>490</v>
      </c>
      <c r="J15" s="16">
        <f t="shared" si="0"/>
        <v>352.8</v>
      </c>
      <c r="K15" s="17">
        <f t="shared" si="1"/>
        <v>2312.8000000000002</v>
      </c>
    </row>
    <row r="16" spans="1:84" x14ac:dyDescent="0.25">
      <c r="A16" s="9">
        <v>43594</v>
      </c>
      <c r="B16" s="10">
        <v>43717</v>
      </c>
      <c r="C16" s="11">
        <v>1010</v>
      </c>
      <c r="D16" s="12" t="s">
        <v>23</v>
      </c>
      <c r="E16" s="13">
        <f>[2]!Table1[[#This Row],[Qty Entrada]]-[2]!Table1[[#This Row],[Qty Salida]]</f>
        <v>0</v>
      </c>
      <c r="F16" s="14" t="s">
        <v>24</v>
      </c>
      <c r="G16" s="14">
        <f>SUMIF([2]!Table3[Código Institucional],[2]Existencia!C16:C293,[2]!Table3[Cantidad])</f>
        <v>215</v>
      </c>
      <c r="H16" s="14">
        <f>SUMIF([2]!Table2[Código Institucional],[2]Existencia!C16:C293,[2]!Table2[Cantidad])</f>
        <v>215</v>
      </c>
      <c r="I16" s="15">
        <v>3.15</v>
      </c>
      <c r="J16" s="16">
        <f t="shared" si="0"/>
        <v>0</v>
      </c>
      <c r="K16" s="17">
        <f t="shared" si="1"/>
        <v>0</v>
      </c>
    </row>
    <row r="17" spans="1:14" x14ac:dyDescent="0.25">
      <c r="A17" s="18"/>
      <c r="B17" s="19"/>
      <c r="C17" s="20">
        <v>2074</v>
      </c>
      <c r="D17" s="21" t="s">
        <v>25</v>
      </c>
      <c r="E17" s="13">
        <f>[2]!Table1[[#This Row],[Qty Entrada]]-[2]!Table1[[#This Row],[Qty Salida]]</f>
        <v>200</v>
      </c>
      <c r="F17" s="14" t="s">
        <v>24</v>
      </c>
      <c r="G17" s="14">
        <f>SUMIF([2]!Table3[Código Institucional],[2]Existencia!C17:C248,[2]!Table3[Cantidad])</f>
        <v>200</v>
      </c>
      <c r="H17" s="14">
        <f>SUMIF([2]!Table2[Código Institucional],[2]Existencia!C17:C248,[2]!Table2[Cantidad])</f>
        <v>0</v>
      </c>
      <c r="I17" s="15">
        <v>4.8</v>
      </c>
      <c r="J17" s="16">
        <f>I17*18%*E17</f>
        <v>172.8</v>
      </c>
      <c r="K17" s="17">
        <f>E17*I17+J17</f>
        <v>1132.8</v>
      </c>
    </row>
    <row r="18" spans="1:14" x14ac:dyDescent="0.25">
      <c r="A18" s="18">
        <v>43594</v>
      </c>
      <c r="B18" s="19">
        <v>44687</v>
      </c>
      <c r="C18" s="11">
        <v>1011</v>
      </c>
      <c r="D18" s="12" t="s">
        <v>26</v>
      </c>
      <c r="E18" s="13">
        <f>[2]!Table1[[#This Row],[Qty Entrada]]-[2]!Table1[[#This Row],[Qty Salida]]</f>
        <v>329</v>
      </c>
      <c r="F18" s="14" t="s">
        <v>24</v>
      </c>
      <c r="G18" s="14">
        <f>SUMIF([2]!Table3[Código Institucional],[2]Existencia!C18:C294,[2]!Table3[Cantidad])</f>
        <v>357</v>
      </c>
      <c r="H18" s="14">
        <f>SUMIF([2]!Table2[Código Institucional],[2]Existencia!C18:C294,[2]!Table2[Cantidad])</f>
        <v>28</v>
      </c>
      <c r="I18" s="15">
        <v>2.85</v>
      </c>
      <c r="J18" s="16">
        <f t="shared" si="0"/>
        <v>168.77700000000002</v>
      </c>
      <c r="K18" s="17">
        <f t="shared" si="1"/>
        <v>1106.4269999999999</v>
      </c>
      <c r="M18" s="24"/>
    </row>
    <row r="19" spans="1:14" x14ac:dyDescent="0.25">
      <c r="A19" s="9">
        <v>43594</v>
      </c>
      <c r="B19" s="10">
        <v>43717</v>
      </c>
      <c r="C19" s="11">
        <v>1012</v>
      </c>
      <c r="D19" s="12" t="s">
        <v>27</v>
      </c>
      <c r="E19" s="13">
        <f>[2]!Table1[[#This Row],[Qty Entrada]]-[2]!Table1[[#This Row],[Qty Salida]]</f>
        <v>225</v>
      </c>
      <c r="F19" s="14" t="s">
        <v>24</v>
      </c>
      <c r="G19" s="14">
        <f>SUMIF([2]!Table3[Código Institucional],[2]Existencia!C19:C295,[2]!Table3[Cantidad])</f>
        <v>225</v>
      </c>
      <c r="H19" s="14">
        <f>SUMIF([2]!Table2[Código Institucional],[2]Existencia!C19:C295,[2]!Table2[Cantidad])</f>
        <v>0</v>
      </c>
      <c r="I19" s="15">
        <v>2.85</v>
      </c>
      <c r="J19" s="16">
        <f t="shared" si="0"/>
        <v>115.425</v>
      </c>
      <c r="K19" s="17">
        <f t="shared" si="1"/>
        <v>756.67499999999995</v>
      </c>
    </row>
    <row r="20" spans="1:14" x14ac:dyDescent="0.25">
      <c r="A20" s="18">
        <v>43594</v>
      </c>
      <c r="B20" s="19">
        <v>44687</v>
      </c>
      <c r="C20" s="11">
        <v>1013</v>
      </c>
      <c r="D20" s="12" t="s">
        <v>28</v>
      </c>
      <c r="E20" s="13">
        <f>[2]!Table1[[#This Row],[Qty Entrada]]-[2]!Table1[[#This Row],[Qty Salida]]</f>
        <v>200</v>
      </c>
      <c r="F20" s="14" t="s">
        <v>24</v>
      </c>
      <c r="G20" s="14">
        <f>SUMIF([2]!Table3[Código Institucional],[2]Existencia!C20:C296,[2]!Table3[Cantidad])</f>
        <v>200</v>
      </c>
      <c r="H20" s="14">
        <f>SUMIF([2]!Table2[Código Institucional],[2]Existencia!C20:C296,[2]!Table2[Cantidad])</f>
        <v>0</v>
      </c>
      <c r="I20" s="15">
        <f>+'[3]ENTRADA 6-05-2022'!$I$20</f>
        <v>2.8</v>
      </c>
      <c r="J20" s="16">
        <f t="shared" si="0"/>
        <v>100.8</v>
      </c>
      <c r="K20" s="17">
        <f t="shared" si="1"/>
        <v>660.8</v>
      </c>
    </row>
    <row r="21" spans="1:14" x14ac:dyDescent="0.25">
      <c r="A21" s="18">
        <v>43594</v>
      </c>
      <c r="B21" s="22">
        <v>44315</v>
      </c>
      <c r="C21" s="11">
        <v>1014</v>
      </c>
      <c r="D21" s="12" t="s">
        <v>29</v>
      </c>
      <c r="E21" s="13">
        <f>[2]!Table1[[#This Row],[Qty Entrada]]-[2]!Table1[[#This Row],[Qty Salida]]</f>
        <v>1</v>
      </c>
      <c r="F21" s="14" t="s">
        <v>30</v>
      </c>
      <c r="G21" s="14">
        <f>SUMIF([2]!Table3[Código Institucional],[2]Existencia!C21:C297,[2]!Table3[Cantidad])</f>
        <v>1</v>
      </c>
      <c r="H21" s="14">
        <f>SUMIF([2]!Table2[Código Institucional],[2]Existencia!C21:C297,[2]!Table2[Cantidad])</f>
        <v>0</v>
      </c>
      <c r="I21" s="15">
        <f>+'[3]ENTRADA 6-05-2022'!$I$21</f>
        <v>160.15</v>
      </c>
      <c r="J21" s="16">
        <f t="shared" si="0"/>
        <v>28.826999999999998</v>
      </c>
      <c r="K21" s="17">
        <f t="shared" si="1"/>
        <v>188.977</v>
      </c>
    </row>
    <row r="22" spans="1:14" x14ac:dyDescent="0.25">
      <c r="A22" s="18">
        <v>43594</v>
      </c>
      <c r="B22" s="19">
        <v>43717</v>
      </c>
      <c r="C22" s="11">
        <v>1016</v>
      </c>
      <c r="D22" s="12" t="s">
        <v>31</v>
      </c>
      <c r="E22" s="13">
        <f>[2]!Table1[[#This Row],[Qty Entrada]]-[2]!Table1[[#This Row],[Qty Salida]]</f>
        <v>144</v>
      </c>
      <c r="F22" s="14" t="s">
        <v>24</v>
      </c>
      <c r="G22" s="14">
        <f>SUMIF([2]!Table3[Código Institucional],[2]Existencia!C22:C299,[2]!Table3[Cantidad])</f>
        <v>169</v>
      </c>
      <c r="H22" s="14">
        <f>SUMIF([2]!Table2[Código Institucional],[2]Existencia!C22:C299,[2]!Table2[Cantidad])</f>
        <v>25</v>
      </c>
      <c r="I22" s="15">
        <f>+'[3]ENTRADA 6-05-2022'!$I$23</f>
        <v>28</v>
      </c>
      <c r="J22" s="16">
        <f t="shared" si="0"/>
        <v>725.76</v>
      </c>
      <c r="K22" s="17">
        <f t="shared" si="1"/>
        <v>4757.76</v>
      </c>
    </row>
    <row r="23" spans="1:14" x14ac:dyDescent="0.25">
      <c r="A23" s="9">
        <v>43594</v>
      </c>
      <c r="B23" s="10">
        <v>43717</v>
      </c>
      <c r="C23" s="11">
        <v>1017</v>
      </c>
      <c r="D23" s="12" t="s">
        <v>32</v>
      </c>
      <c r="E23" s="13">
        <f>[2]!Table1[[#This Row],[Qty Entrada]]-[2]!Table1[[#This Row],[Qty Salida]]</f>
        <v>4</v>
      </c>
      <c r="F23" s="14" t="s">
        <v>24</v>
      </c>
      <c r="G23" s="14">
        <f>SUMIF([2]!Table3[Código Institucional],[2]Existencia!C23:C300,[2]!Table3[Cantidad])</f>
        <v>24</v>
      </c>
      <c r="H23" s="14">
        <f>SUMIF([2]!Table2[Código Institucional],[2]Existencia!C23:C300,[2]!Table2[Cantidad])</f>
        <v>20</v>
      </c>
      <c r="I23" s="15">
        <v>130</v>
      </c>
      <c r="J23" s="16">
        <f>I23*18%*E23</f>
        <v>93.6</v>
      </c>
      <c r="K23" s="17">
        <f t="shared" si="1"/>
        <v>613.6</v>
      </c>
      <c r="N23" t="s">
        <v>34</v>
      </c>
    </row>
    <row r="24" spans="1:14" x14ac:dyDescent="0.25">
      <c r="A24" s="18"/>
      <c r="B24" s="19"/>
      <c r="C24" s="20">
        <v>2067</v>
      </c>
      <c r="D24" s="21" t="s">
        <v>33</v>
      </c>
      <c r="E24" s="13">
        <f>[2]!Table1[[#This Row],[Qty Entrada]]-[2]!Table1[[#This Row],[Qty Salida]]</f>
        <v>14</v>
      </c>
      <c r="F24" s="14" t="s">
        <v>24</v>
      </c>
      <c r="G24" s="14">
        <f>SUMIF([2]!Table3[Código Institucional],[2]Existencia!C24:C262,[2]!Table3[Cantidad])</f>
        <v>15</v>
      </c>
      <c r="H24" s="14">
        <f>SUMIF([2]!Table2[Código Institucional],[2]Existencia!C24:C262,[2]!Table2[Cantidad])</f>
        <v>1</v>
      </c>
      <c r="I24" s="15">
        <v>285</v>
      </c>
      <c r="J24" s="16">
        <f>I24*18%*E24</f>
        <v>718.19999999999993</v>
      </c>
      <c r="K24" s="17">
        <f>E24*I24+J24</f>
        <v>4708.2</v>
      </c>
    </row>
    <row r="25" spans="1:14" x14ac:dyDescent="0.25">
      <c r="A25" s="18"/>
      <c r="B25" s="19"/>
      <c r="C25" s="20">
        <v>2134</v>
      </c>
      <c r="D25" s="21" t="s">
        <v>35</v>
      </c>
      <c r="E25" s="13">
        <f>[2]!Table1[[#This Row],[Qty Entrada]]-[2]!Table1[[#This Row],[Qty Salida]]</f>
        <v>15</v>
      </c>
      <c r="F25" s="14" t="s">
        <v>24</v>
      </c>
      <c r="G25" s="14">
        <f>SUMIF([2]!Table3[Código Institucional],[2]Existencia!C25:C253,[2]!Table3[Cantidad])</f>
        <v>15</v>
      </c>
      <c r="H25" s="14">
        <f>SUMIF([2]!Table2[Código Institucional],[2]Existencia!C25:C253,[2]!Table2[Cantidad])</f>
        <v>0</v>
      </c>
      <c r="I25" s="15">
        <v>285</v>
      </c>
      <c r="J25" s="16">
        <f>I25*18%*E25</f>
        <v>769.5</v>
      </c>
      <c r="K25" s="17">
        <f>E25*I25+J25</f>
        <v>5044.5</v>
      </c>
    </row>
    <row r="26" spans="1:14" x14ac:dyDescent="0.25">
      <c r="A26" s="18"/>
      <c r="B26" s="19"/>
      <c r="C26" s="20">
        <v>2184</v>
      </c>
      <c r="D26" s="21" t="s">
        <v>278</v>
      </c>
      <c r="E26" s="13">
        <f>[2]!Table1[[#This Row],[Qty Entrada]]-[2]!Table1[[#This Row],[Qty Salida]]</f>
        <v>5</v>
      </c>
      <c r="F26" s="14" t="s">
        <v>24</v>
      </c>
      <c r="G26" s="14">
        <f>SUMIF([2]!Table3[Código Institucional],[2]Existencia!C26:C248,[2]!Table3[Cantidad])</f>
        <v>5</v>
      </c>
      <c r="H26" s="14">
        <f>SUMIF([2]!Table2[Código Institucional],[2]Existencia!C26:C248,[2]!Table2[Cantidad])</f>
        <v>0</v>
      </c>
      <c r="I26" s="15">
        <v>240</v>
      </c>
      <c r="J26" s="16">
        <f>I26*18%*E26</f>
        <v>215.99999999999997</v>
      </c>
      <c r="K26" s="17">
        <f>E26*I26+J26</f>
        <v>1416</v>
      </c>
    </row>
    <row r="27" spans="1:14" x14ac:dyDescent="0.25">
      <c r="A27" s="18">
        <v>43594</v>
      </c>
      <c r="B27" s="19">
        <v>44687</v>
      </c>
      <c r="C27" s="11">
        <v>1019</v>
      </c>
      <c r="D27" s="12" t="s">
        <v>36</v>
      </c>
      <c r="E27" s="13">
        <f>[2]!Table1[[#This Row],[Qty Entrada]]-[2]!Table1[[#This Row],[Qty Salida]]</f>
        <v>175</v>
      </c>
      <c r="F27" s="14" t="s">
        <v>24</v>
      </c>
      <c r="G27" s="14">
        <f>SUMIF([2]!Table3[Código Institucional],[2]Existencia!C27:C302,[2]!Table3[Cantidad])</f>
        <v>227</v>
      </c>
      <c r="H27" s="14">
        <f>SUMIF([2]!Table2[Código Institucional],[2]Existencia!C27:C302,[2]!Table2[Cantidad])</f>
        <v>52</v>
      </c>
      <c r="I27" s="15">
        <v>1.95</v>
      </c>
      <c r="J27" s="16">
        <f t="shared" si="0"/>
        <v>61.424999999999997</v>
      </c>
      <c r="K27" s="17">
        <f t="shared" si="1"/>
        <v>402.67500000000001</v>
      </c>
    </row>
    <row r="28" spans="1:14" x14ac:dyDescent="0.25">
      <c r="A28" s="9">
        <v>43594</v>
      </c>
      <c r="B28" s="10">
        <v>44687</v>
      </c>
      <c r="C28" s="11">
        <v>1021</v>
      </c>
      <c r="D28" s="25" t="s">
        <v>37</v>
      </c>
      <c r="E28" s="13">
        <f>[2]!Table1[[#This Row],[Qty Entrada]]-[2]!Table1[[#This Row],[Qty Salida]]</f>
        <v>68</v>
      </c>
      <c r="F28" s="14" t="s">
        <v>24</v>
      </c>
      <c r="G28" s="14">
        <f>SUMIF([2]!Table3[Código Institucional],[2]Existencia!C28:C304,[2]!Table3[Cantidad])</f>
        <v>184</v>
      </c>
      <c r="H28" s="14">
        <f>SUMIF([2]!Table2[Código Institucional],[2]Existencia!C28:C304,[2]!Table2[Cantidad])</f>
        <v>116</v>
      </c>
      <c r="I28" s="15">
        <v>2.1</v>
      </c>
      <c r="J28" s="16">
        <f>I28*18%*E28</f>
        <v>25.704000000000001</v>
      </c>
      <c r="K28" s="17">
        <f>E28*I28+J28</f>
        <v>168.50400000000002</v>
      </c>
    </row>
    <row r="29" spans="1:14" x14ac:dyDescent="0.25">
      <c r="A29" s="18">
        <v>43594</v>
      </c>
      <c r="B29" s="19">
        <v>43717</v>
      </c>
      <c r="C29" s="11">
        <v>1022</v>
      </c>
      <c r="D29" s="12" t="s">
        <v>38</v>
      </c>
      <c r="E29" s="13">
        <f>[2]!Table1[[#This Row],[Qty Entrada]]-[2]!Table1[[#This Row],[Qty Salida]]</f>
        <v>32</v>
      </c>
      <c r="F29" s="14" t="s">
        <v>24</v>
      </c>
      <c r="G29" s="14">
        <f>SUMIF([2]!Table3[Código Institucional],[2]Existencia!C29:C305,[2]!Table3[Cantidad])</f>
        <v>32</v>
      </c>
      <c r="H29" s="14">
        <f>SUMIF([2]!Table2[Código Institucional],[2]Existencia!C29:C305,[2]!Table2[Cantidad])</f>
        <v>0</v>
      </c>
      <c r="I29" s="15">
        <f>+'[3]ENTRADA 6-05-2022'!$I$29</f>
        <v>39</v>
      </c>
      <c r="J29" s="16">
        <v>0</v>
      </c>
      <c r="K29" s="17">
        <f t="shared" si="1"/>
        <v>1248</v>
      </c>
    </row>
    <row r="30" spans="1:14" x14ac:dyDescent="0.25">
      <c r="A30" s="9">
        <v>43594</v>
      </c>
      <c r="B30" s="10">
        <v>43717</v>
      </c>
      <c r="C30" s="11">
        <v>1023</v>
      </c>
      <c r="D30" s="12" t="s">
        <v>39</v>
      </c>
      <c r="E30" s="13">
        <f>[2]!Table1[[#This Row],[Qty Entrada]]-[2]!Table1[[#This Row],[Qty Salida]]</f>
        <v>11</v>
      </c>
      <c r="F30" s="14" t="s">
        <v>24</v>
      </c>
      <c r="G30" s="14">
        <f>SUMIF([2]!Table3[Código Institucional],[2]Existencia!C30:C306,[2]!Table3[Cantidad])</f>
        <v>11</v>
      </c>
      <c r="H30" s="14">
        <f>SUMIF([2]!Table2[Código Institucional],[2]Existencia!C30:C306,[2]!Table2[Cantidad])</f>
        <v>0</v>
      </c>
      <c r="I30" s="15">
        <f>+'[3]ENTRADA 6-05-2022'!$I$30</f>
        <v>39</v>
      </c>
      <c r="J30" s="16">
        <v>0</v>
      </c>
      <c r="K30" s="17">
        <f t="shared" si="1"/>
        <v>429</v>
      </c>
    </row>
    <row r="31" spans="1:14" x14ac:dyDescent="0.25">
      <c r="A31" s="18">
        <v>43594</v>
      </c>
      <c r="B31" s="19">
        <v>43717</v>
      </c>
      <c r="C31" s="11">
        <v>1024</v>
      </c>
      <c r="D31" s="12" t="s">
        <v>40</v>
      </c>
      <c r="E31" s="13">
        <f>[2]!Table1[[#This Row],[Qty Entrada]]-[2]!Table1[[#This Row],[Qty Salida]]</f>
        <v>74</v>
      </c>
      <c r="F31" s="14" t="s">
        <v>24</v>
      </c>
      <c r="G31" s="14">
        <f>SUMIF([2]!Table3[Código Institucional],[2]Existencia!C31:C307,[2]!Table3[Cantidad])</f>
        <v>75</v>
      </c>
      <c r="H31" s="14">
        <f>SUMIF([2]!Table2[Código Institucional],[2]Existencia!C31:C307,[2]!Table2[Cantidad])</f>
        <v>1</v>
      </c>
      <c r="I31" s="15">
        <v>39</v>
      </c>
      <c r="J31" s="16">
        <v>0</v>
      </c>
      <c r="K31" s="17">
        <f t="shared" si="1"/>
        <v>2886</v>
      </c>
    </row>
    <row r="32" spans="1:14" x14ac:dyDescent="0.25">
      <c r="A32" s="9">
        <v>43594</v>
      </c>
      <c r="B32" s="10">
        <v>44687</v>
      </c>
      <c r="C32" s="11">
        <v>1025</v>
      </c>
      <c r="D32" s="12" t="s">
        <v>41</v>
      </c>
      <c r="E32" s="13">
        <f>[2]!Table1[[#This Row],[Qty Entrada]]-[2]!Table1[[#This Row],[Qty Salida]]</f>
        <v>98</v>
      </c>
      <c r="F32" s="14" t="s">
        <v>24</v>
      </c>
      <c r="G32" s="14">
        <f>SUMIF([2]!Table3[Código Institucional],[2]Existencia!C32:C308,[2]!Table3[Cantidad])</f>
        <v>121</v>
      </c>
      <c r="H32" s="14">
        <f>SUMIF([2]!Table2[Código Institucional],[2]Existencia!C32:C308,[2]!Table2[Cantidad])</f>
        <v>23</v>
      </c>
      <c r="I32" s="15">
        <v>39</v>
      </c>
      <c r="J32" s="16"/>
      <c r="K32" s="17">
        <f t="shared" si="1"/>
        <v>3822</v>
      </c>
    </row>
    <row r="33" spans="1:11" x14ac:dyDescent="0.25">
      <c r="A33" s="18">
        <v>43594</v>
      </c>
      <c r="B33" s="19">
        <v>44687</v>
      </c>
      <c r="C33" s="11">
        <v>1026</v>
      </c>
      <c r="D33" s="12" t="s">
        <v>42</v>
      </c>
      <c r="E33" s="13">
        <f>[2]!Table1[[#This Row],[Qty Entrada]]-[2]!Table1[[#This Row],[Qty Salida]]</f>
        <v>82</v>
      </c>
      <c r="F33" s="14" t="s">
        <v>24</v>
      </c>
      <c r="G33" s="14">
        <f>SUMIF([2]!Table3[Código Institucional],[2]Existencia!C33:C309,[2]!Table3[Cantidad])</f>
        <v>92</v>
      </c>
      <c r="H33" s="14">
        <f>SUMIF([2]!Table2[Código Institucional],[2]Existencia!C33:C309,[2]!Table2[Cantidad])</f>
        <v>10</v>
      </c>
      <c r="I33" s="15">
        <v>39</v>
      </c>
      <c r="J33" s="16">
        <v>0</v>
      </c>
      <c r="K33" s="17">
        <f t="shared" si="1"/>
        <v>3198</v>
      </c>
    </row>
    <row r="34" spans="1:11" x14ac:dyDescent="0.25">
      <c r="A34" s="9">
        <v>43594</v>
      </c>
      <c r="B34" s="10">
        <v>44687</v>
      </c>
      <c r="C34" s="11">
        <v>1028</v>
      </c>
      <c r="D34" s="12" t="s">
        <v>43</v>
      </c>
      <c r="E34" s="13">
        <f>[2]!Table1[[#This Row],[Qty Entrada]]-[2]!Table1[[#This Row],[Qty Salida]]</f>
        <v>34</v>
      </c>
      <c r="F34" s="14" t="s">
        <v>24</v>
      </c>
      <c r="G34" s="14">
        <f>SUMIF([2]!Table3[Código Institucional],[2]Existencia!C34:C311,[2]!Table3[Cantidad])</f>
        <v>53</v>
      </c>
      <c r="H34" s="14">
        <f>SUMIF([2]!Table2[Código Institucional],[2]Existencia!C34:C311,[2]!Table2[Cantidad])</f>
        <v>19</v>
      </c>
      <c r="I34" s="15">
        <v>185</v>
      </c>
      <c r="J34" s="16">
        <v>0</v>
      </c>
      <c r="K34" s="17">
        <f t="shared" si="1"/>
        <v>6290</v>
      </c>
    </row>
    <row r="35" spans="1:11" x14ac:dyDescent="0.25">
      <c r="A35" s="18">
        <v>43594</v>
      </c>
      <c r="B35" s="19">
        <v>44687</v>
      </c>
      <c r="C35" s="11">
        <v>1029</v>
      </c>
      <c r="D35" s="12" t="s">
        <v>44</v>
      </c>
      <c r="E35" s="13">
        <f>[2]!Table1[[#This Row],[Qty Entrada]]-[2]!Table1[[#This Row],[Qty Salida]]</f>
        <v>60</v>
      </c>
      <c r="F35" s="14" t="s">
        <v>24</v>
      </c>
      <c r="G35" s="14">
        <f>SUMIF([2]!Table3[Código Institucional],[2]Existencia!C35:C312,[2]!Table3[Cantidad])</f>
        <v>61</v>
      </c>
      <c r="H35" s="14">
        <f>SUMIF([2]!Table2[Código Institucional],[2]Existencia!C35:C312,[2]!Table2[Cantidad])</f>
        <v>1</v>
      </c>
      <c r="I35" s="15">
        <v>18</v>
      </c>
      <c r="J35" s="16">
        <v>0</v>
      </c>
      <c r="K35" s="17">
        <f t="shared" si="1"/>
        <v>1080</v>
      </c>
    </row>
    <row r="36" spans="1:11" x14ac:dyDescent="0.25">
      <c r="A36" s="9">
        <v>43594</v>
      </c>
      <c r="B36" s="10">
        <v>43717</v>
      </c>
      <c r="C36" s="11">
        <v>1030</v>
      </c>
      <c r="D36" s="12" t="s">
        <v>45</v>
      </c>
      <c r="E36" s="13">
        <f>[2]!Table1[[#This Row],[Qty Entrada]]-[2]!Table1[[#This Row],[Qty Salida]]</f>
        <v>11</v>
      </c>
      <c r="F36" s="14" t="s">
        <v>24</v>
      </c>
      <c r="G36" s="14">
        <f>SUMIF([2]!Table3[Código Institucional],[2]Existencia!C36:C313,[2]!Table3[Cantidad])</f>
        <v>12</v>
      </c>
      <c r="H36" s="14">
        <f>SUMIF([2]!Table2[Código Institucional],[2]Existencia!C36:C313,[2]!Table2[Cantidad])</f>
        <v>1</v>
      </c>
      <c r="I36" s="15">
        <v>18</v>
      </c>
      <c r="J36" s="16">
        <v>0</v>
      </c>
      <c r="K36" s="17">
        <f t="shared" si="1"/>
        <v>198</v>
      </c>
    </row>
    <row r="37" spans="1:11" x14ac:dyDescent="0.25">
      <c r="A37" s="18"/>
      <c r="B37" s="19"/>
      <c r="C37" s="20">
        <v>2137</v>
      </c>
      <c r="D37" s="21" t="s">
        <v>46</v>
      </c>
      <c r="E37" s="13">
        <f>[2]!Table1[[#This Row],[Qty Entrada]]-[2]!Table1[[#This Row],[Qty Salida]]</f>
        <v>15</v>
      </c>
      <c r="F37" s="14" t="s">
        <v>24</v>
      </c>
      <c r="G37" s="14">
        <f>SUMIF([2]!Table3[Código Institucional],[2]Existencia!C37:C267,[2]!Table3[Cantidad])</f>
        <v>15</v>
      </c>
      <c r="H37" s="14">
        <f>SUMIF([2]!Table2[Código Institucional],[2]Existencia!C37:C267,[2]!Table2[Cantidad])</f>
        <v>0</v>
      </c>
      <c r="I37" s="15">
        <v>30</v>
      </c>
      <c r="J37" s="16">
        <v>0</v>
      </c>
      <c r="K37" s="17">
        <f>E37*I37+J37</f>
        <v>450</v>
      </c>
    </row>
    <row r="38" spans="1:11" x14ac:dyDescent="0.25">
      <c r="A38" s="18">
        <v>43594</v>
      </c>
      <c r="B38" s="19">
        <v>43717</v>
      </c>
      <c r="C38" s="11">
        <v>1031</v>
      </c>
      <c r="D38" s="12" t="s">
        <v>47</v>
      </c>
      <c r="E38" s="13">
        <f>[2]!Table1[[#This Row],[Qty Entrada]]-[2]!Table1[[#This Row],[Qty Salida]]</f>
        <v>43</v>
      </c>
      <c r="F38" s="14" t="s">
        <v>24</v>
      </c>
      <c r="G38" s="14">
        <f>SUMIF([2]!Table3[Código Institucional],[2]Existencia!C38:C314,[2]!Table3[Cantidad])</f>
        <v>68</v>
      </c>
      <c r="H38" s="14">
        <f>SUMIF([2]!Table2[Código Institucional],[2]Existencia!C38:C314,[2]!Table2[Cantidad])</f>
        <v>25</v>
      </c>
      <c r="I38" s="15">
        <v>5.88</v>
      </c>
      <c r="J38" s="16">
        <v>0</v>
      </c>
      <c r="K38" s="17">
        <f t="shared" si="1"/>
        <v>252.84</v>
      </c>
    </row>
    <row r="39" spans="1:11" x14ac:dyDescent="0.25">
      <c r="A39" s="9">
        <v>43594</v>
      </c>
      <c r="B39" s="26">
        <v>44315</v>
      </c>
      <c r="C39" s="11">
        <v>1032</v>
      </c>
      <c r="D39" s="12" t="s">
        <v>48</v>
      </c>
      <c r="E39" s="13">
        <f>[2]!Table1[[#This Row],[Qty Entrada]]-[2]!Table1[[#This Row],[Qty Salida]]</f>
        <v>17</v>
      </c>
      <c r="F39" s="14" t="s">
        <v>24</v>
      </c>
      <c r="G39" s="14">
        <f>SUMIF([2]!Table3[Código Institucional],[2]Existencia!C39:C315,[2]!Table3[Cantidad])</f>
        <v>18</v>
      </c>
      <c r="H39" s="14">
        <f>SUMIF([2]!Table2[Código Institucional],[2]Existencia!C39:C315,[2]!Table2[Cantidad])</f>
        <v>1</v>
      </c>
      <c r="I39" s="15">
        <v>195.5</v>
      </c>
      <c r="J39" s="16">
        <f t="shared" si="0"/>
        <v>598.23</v>
      </c>
      <c r="K39" s="17">
        <f t="shared" si="1"/>
        <v>3921.73</v>
      </c>
    </row>
    <row r="40" spans="1:11" x14ac:dyDescent="0.25">
      <c r="A40" s="18">
        <v>43594</v>
      </c>
      <c r="B40" s="22">
        <v>44315</v>
      </c>
      <c r="C40" s="11">
        <v>1033</v>
      </c>
      <c r="D40" s="12" t="s">
        <v>49</v>
      </c>
      <c r="E40" s="13">
        <f>[2]!Table1[[#This Row],[Qty Entrada]]-[2]!Table1[[#This Row],[Qty Salida]]</f>
        <v>17</v>
      </c>
      <c r="F40" s="14" t="s">
        <v>24</v>
      </c>
      <c r="G40" s="14">
        <f>SUMIF([2]!Table3[Código Institucional],[2]Existencia!C40:C316,[2]!Table3[Cantidad])</f>
        <v>17</v>
      </c>
      <c r="H40" s="14">
        <f>SUMIF([2]!Table2[Código Institucional],[2]Existencia!C40:C316,[2]!Table2[Cantidad])</f>
        <v>0</v>
      </c>
      <c r="I40" s="15">
        <v>24.58</v>
      </c>
      <c r="J40" s="16">
        <f t="shared" si="0"/>
        <v>75.214799999999997</v>
      </c>
      <c r="K40" s="17">
        <f t="shared" si="1"/>
        <v>493.07479999999998</v>
      </c>
    </row>
    <row r="41" spans="1:11" x14ac:dyDescent="0.25">
      <c r="A41" s="9">
        <v>43594</v>
      </c>
      <c r="B41" s="26">
        <v>44315</v>
      </c>
      <c r="C41" s="11">
        <v>1034</v>
      </c>
      <c r="D41" s="12" t="s">
        <v>50</v>
      </c>
      <c r="E41" s="13">
        <f>[2]!Table1[[#This Row],[Qty Entrada]]-[2]!Table1[[#This Row],[Qty Salida]]</f>
        <v>32</v>
      </c>
      <c r="F41" s="14" t="s">
        <v>24</v>
      </c>
      <c r="G41" s="14">
        <f>SUMIF([2]!Table3[Código Institucional],[2]Existencia!C41:C317,[2]!Table3[Cantidad])</f>
        <v>32</v>
      </c>
      <c r="H41" s="14">
        <f>SUMIF([2]!Table2[Código Institucional],[2]Existencia!C41:C317,[2]!Table2[Cantidad])</f>
        <v>0</v>
      </c>
      <c r="I41" s="15">
        <v>39</v>
      </c>
      <c r="J41" s="16">
        <v>0</v>
      </c>
      <c r="K41" s="17">
        <f t="shared" si="1"/>
        <v>1248</v>
      </c>
    </row>
    <row r="42" spans="1:11" x14ac:dyDescent="0.25">
      <c r="A42" s="18">
        <v>43594</v>
      </c>
      <c r="B42" s="22">
        <v>44315</v>
      </c>
      <c r="C42" s="11">
        <v>1035</v>
      </c>
      <c r="D42" s="12" t="s">
        <v>51</v>
      </c>
      <c r="E42" s="13">
        <v>0</v>
      </c>
      <c r="F42" s="14" t="s">
        <v>24</v>
      </c>
      <c r="G42" s="14">
        <f>SUMIF([2]!Table3[Código Institucional],[2]Existencia!C42:C318,[2]!Table3[Cantidad])</f>
        <v>46</v>
      </c>
      <c r="H42" s="14">
        <f>SUMIF([2]!Table2[Código Institucional],[2]Existencia!C42:C318,[2]!Table2[Cantidad])</f>
        <v>48</v>
      </c>
      <c r="I42" s="15">
        <v>9</v>
      </c>
      <c r="J42" s="16">
        <f t="shared" si="0"/>
        <v>0</v>
      </c>
      <c r="K42" s="17">
        <v>0</v>
      </c>
    </row>
    <row r="43" spans="1:11" x14ac:dyDescent="0.25">
      <c r="A43" s="9">
        <v>43594</v>
      </c>
      <c r="B43" s="26">
        <v>44315</v>
      </c>
      <c r="C43" s="11">
        <v>1036</v>
      </c>
      <c r="D43" s="12" t="s">
        <v>52</v>
      </c>
      <c r="E43" s="13">
        <f>[2]!Table1[[#This Row],[Qty Entrada]]-[2]!Table1[[#This Row],[Qty Salida]]</f>
        <v>47</v>
      </c>
      <c r="F43" s="14" t="s">
        <v>24</v>
      </c>
      <c r="G43" s="14">
        <f>SUMIF([2]!Table3[Código Institucional],[2]Existencia!C43:C319,[2]!Table3[Cantidad])</f>
        <v>47</v>
      </c>
      <c r="H43" s="14">
        <f>SUMIF([2]!Table2[Código Institucional],[2]Existencia!C43:C319,[2]!Table2[Cantidad])</f>
        <v>0</v>
      </c>
      <c r="I43" s="15">
        <v>9</v>
      </c>
      <c r="J43" s="16">
        <f t="shared" si="0"/>
        <v>76.14</v>
      </c>
      <c r="K43" s="17">
        <f t="shared" si="1"/>
        <v>499.14</v>
      </c>
    </row>
    <row r="44" spans="1:11" x14ac:dyDescent="0.25">
      <c r="A44" s="18">
        <v>43594</v>
      </c>
      <c r="B44" s="22">
        <v>44315</v>
      </c>
      <c r="C44" s="11">
        <v>1037</v>
      </c>
      <c r="D44" s="12" t="s">
        <v>53</v>
      </c>
      <c r="E44" s="13">
        <f>[2]!Table1[[#This Row],[Qty Entrada]]-[2]!Table1[[#This Row],[Qty Salida]]</f>
        <v>54</v>
      </c>
      <c r="F44" s="14" t="s">
        <v>24</v>
      </c>
      <c r="G44" s="14">
        <f>SUMIF([2]!Table3[Código Institucional],[2]Existencia!C44:C320,[2]!Table3[Cantidad])</f>
        <v>115</v>
      </c>
      <c r="H44" s="14">
        <f>SUMIF([2]!Table2[Código Institucional],[2]Existencia!C44:C320,[2]!Table2[Cantidad])</f>
        <v>61</v>
      </c>
      <c r="I44" s="15">
        <v>9</v>
      </c>
      <c r="J44" s="16">
        <f t="shared" si="0"/>
        <v>87.47999999999999</v>
      </c>
      <c r="K44" s="17">
        <f t="shared" si="1"/>
        <v>573.48</v>
      </c>
    </row>
    <row r="45" spans="1:11" x14ac:dyDescent="0.25">
      <c r="A45" s="9">
        <v>43594</v>
      </c>
      <c r="B45" s="26">
        <v>44315</v>
      </c>
      <c r="C45" s="11">
        <v>1038</v>
      </c>
      <c r="D45" s="27" t="s">
        <v>54</v>
      </c>
      <c r="E45" s="13">
        <f>[2]!Table1[[#This Row],[Qty Entrada]]-[2]!Table1[[#This Row],[Qty Salida]]</f>
        <v>18</v>
      </c>
      <c r="F45" s="14" t="s">
        <v>24</v>
      </c>
      <c r="G45" s="14">
        <f>SUMIF([2]!Table3[Código Institucional],[2]Existencia!C45:C321,[2]!Table3[Cantidad])</f>
        <v>31</v>
      </c>
      <c r="H45" s="14">
        <f>SUMIF([2]!Table2[Código Institucional],[2]Existencia!C45:C321,[2]!Table2[Cantidad])</f>
        <v>13</v>
      </c>
      <c r="I45" s="15">
        <v>6.3</v>
      </c>
      <c r="J45" s="16">
        <v>0</v>
      </c>
      <c r="K45" s="17">
        <f t="shared" si="1"/>
        <v>113.39999999999999</v>
      </c>
    </row>
    <row r="46" spans="1:11" x14ac:dyDescent="0.25">
      <c r="A46" s="18"/>
      <c r="B46" s="22"/>
      <c r="C46" s="20">
        <v>2126</v>
      </c>
      <c r="D46" s="28" t="s">
        <v>55</v>
      </c>
      <c r="E46" s="13">
        <f>[2]!Table1[[#This Row],[Qty Entrada]]-[2]!Table1[[#This Row],[Qty Salida]]</f>
        <v>180</v>
      </c>
      <c r="F46" s="14"/>
      <c r="G46" s="14">
        <f>SUMIF([2]!Table3[Código Institucional],[2]Existencia!C46:C274,[2]!Table3[Cantidad])</f>
        <v>180</v>
      </c>
      <c r="H46" s="14">
        <f>SUMIF([2]!Table2[Código Institucional],[2]Existencia!C46:C274,[2]!Table2[Cantidad])</f>
        <v>0</v>
      </c>
      <c r="I46" s="15">
        <v>6.58</v>
      </c>
      <c r="J46" s="16">
        <v>0</v>
      </c>
      <c r="K46" s="17">
        <f>E46*I46+J46</f>
        <v>1184.4000000000001</v>
      </c>
    </row>
    <row r="47" spans="1:11" x14ac:dyDescent="0.25">
      <c r="A47" s="18"/>
      <c r="B47" s="22"/>
      <c r="C47" s="20">
        <v>2096</v>
      </c>
      <c r="D47" s="21" t="s">
        <v>56</v>
      </c>
      <c r="E47" s="13">
        <f>[2]!Table1[[#This Row],[Qty Entrada]]-[2]!Table1[[#This Row],[Qty Salida]]</f>
        <v>12</v>
      </c>
      <c r="F47" s="14" t="s">
        <v>24</v>
      </c>
      <c r="G47" s="14">
        <f>SUMIF([2]!Table3[Código Institucional],[2]Existencia!C47:C282,[2]!Table3[Cantidad])</f>
        <v>12</v>
      </c>
      <c r="H47" s="14">
        <f>SUMIF([2]!Table2[Código Institucional],[2]Existencia!C47:C282,[2]!Table2[Cantidad])</f>
        <v>0</v>
      </c>
      <c r="I47" s="15">
        <v>135</v>
      </c>
      <c r="J47" s="16">
        <v>0</v>
      </c>
      <c r="K47" s="17">
        <f>E47*I47+J47</f>
        <v>1620</v>
      </c>
    </row>
    <row r="48" spans="1:11" x14ac:dyDescent="0.25">
      <c r="A48" s="18">
        <v>43594</v>
      </c>
      <c r="B48" s="19">
        <v>44687</v>
      </c>
      <c r="C48" s="11">
        <v>1040</v>
      </c>
      <c r="D48" s="12" t="s">
        <v>57</v>
      </c>
      <c r="E48" s="13">
        <f>[2]!Table1[[#This Row],[Qty Entrada]]-[2]!Table1[[#This Row],[Qty Salida]]</f>
        <v>9</v>
      </c>
      <c r="F48" s="14" t="s">
        <v>24</v>
      </c>
      <c r="G48" s="14">
        <f>SUMIF([2]!Table3[Código Institucional],[2]Existencia!C48:C323,[2]!Table3[Cantidad])</f>
        <v>12</v>
      </c>
      <c r="H48" s="14">
        <f>SUMIF([2]!Table2[Código Institucional],[2]Existencia!C48:C323,[2]!Table2[Cantidad])</f>
        <v>3</v>
      </c>
      <c r="I48" s="15">
        <v>459</v>
      </c>
      <c r="J48" s="16">
        <f t="shared" si="0"/>
        <v>743.57999999999993</v>
      </c>
      <c r="K48" s="17">
        <f t="shared" si="1"/>
        <v>4874.58</v>
      </c>
    </row>
    <row r="49" spans="1:11" x14ac:dyDescent="0.25">
      <c r="A49" s="9">
        <v>43594</v>
      </c>
      <c r="B49" s="10">
        <v>44687</v>
      </c>
      <c r="C49" s="11">
        <v>1043</v>
      </c>
      <c r="D49" s="12" t="s">
        <v>58</v>
      </c>
      <c r="E49" s="13">
        <f>[2]!Table1[[#This Row],[Qty Entrada]]-[2]!Table1[[#This Row],[Qty Salida]]</f>
        <v>20</v>
      </c>
      <c r="F49" s="14" t="s">
        <v>30</v>
      </c>
      <c r="G49" s="14">
        <f>SUMIF([2]!Table3[Código Institucional],[2]Existencia!C49:C326,[2]!Table3[Cantidad])</f>
        <v>24</v>
      </c>
      <c r="H49" s="14">
        <f>SUMIF([2]!Table2[Código Institucional],[2]Existencia!C49:C326,[2]!Table2[Cantidad])</f>
        <v>4</v>
      </c>
      <c r="I49" s="15">
        <v>40</v>
      </c>
      <c r="J49" s="16">
        <f t="shared" si="0"/>
        <v>144</v>
      </c>
      <c r="K49" s="17">
        <f t="shared" si="1"/>
        <v>944</v>
      </c>
    </row>
    <row r="50" spans="1:11" x14ac:dyDescent="0.25">
      <c r="A50" s="18">
        <v>43594</v>
      </c>
      <c r="B50" s="19">
        <v>43717</v>
      </c>
      <c r="C50" s="11">
        <v>1044</v>
      </c>
      <c r="D50" s="12" t="s">
        <v>59</v>
      </c>
      <c r="E50" s="13">
        <f>[2]!Table1[[#This Row],[Qty Entrada]]-[2]!Table1[[#This Row],[Qty Salida]]</f>
        <v>8</v>
      </c>
      <c r="F50" s="14" t="s">
        <v>24</v>
      </c>
      <c r="G50" s="14">
        <f>SUMIF([2]!Table3[Código Institucional],[2]Existencia!C50:C327,[2]!Table3[Cantidad])</f>
        <v>11</v>
      </c>
      <c r="H50" s="14">
        <f>SUMIF([2]!Table2[Código Institucional],[2]Existencia!C50:C327,[2]!Table2[Cantidad])</f>
        <v>3</v>
      </c>
      <c r="I50" s="15">
        <v>28</v>
      </c>
      <c r="J50" s="16">
        <f t="shared" si="0"/>
        <v>40.32</v>
      </c>
      <c r="K50" s="17">
        <f t="shared" si="1"/>
        <v>264.32</v>
      </c>
    </row>
    <row r="51" spans="1:11" x14ac:dyDescent="0.25">
      <c r="A51" s="9">
        <v>43594</v>
      </c>
      <c r="B51" s="26">
        <v>44315</v>
      </c>
      <c r="C51" s="11">
        <v>1047</v>
      </c>
      <c r="D51" s="12" t="s">
        <v>60</v>
      </c>
      <c r="E51" s="13">
        <f>[2]!Table1[[#This Row],[Qty Entrada]]-[2]!Table1[[#This Row],[Qty Salida]]</f>
        <v>3</v>
      </c>
      <c r="F51" s="14" t="s">
        <v>24</v>
      </c>
      <c r="G51" s="14">
        <f>SUMIF([2]!Table3[Código Institucional],[2]Existencia!C51:C330,[2]!Table3[Cantidad])</f>
        <v>3</v>
      </c>
      <c r="H51" s="14">
        <f>SUMIF([2]!Table2[Código Institucional],[2]Existencia!C51:C330,[2]!Table2[Cantidad])</f>
        <v>0</v>
      </c>
      <c r="I51" s="15">
        <v>396.77</v>
      </c>
      <c r="J51" s="16">
        <f t="shared" si="0"/>
        <v>214.25579999999999</v>
      </c>
      <c r="K51" s="17">
        <f t="shared" si="1"/>
        <v>1404.5657999999999</v>
      </c>
    </row>
    <row r="52" spans="1:11" x14ac:dyDescent="0.25">
      <c r="A52" s="18">
        <v>43594</v>
      </c>
      <c r="B52" s="19">
        <v>44687</v>
      </c>
      <c r="C52" s="11">
        <v>1048</v>
      </c>
      <c r="D52" s="12" t="s">
        <v>61</v>
      </c>
      <c r="E52" s="13">
        <f>[2]!Table1[[#This Row],[Qty Entrada]]-[2]!Table1[[#This Row],[Qty Salida]]</f>
        <v>4</v>
      </c>
      <c r="F52" s="14" t="s">
        <v>24</v>
      </c>
      <c r="G52" s="14">
        <f>SUMIF([2]!Table3[Código Institucional],[2]Existencia!C52:C331,[2]!Table3[Cantidad])</f>
        <v>4</v>
      </c>
      <c r="H52" s="14">
        <f>SUMIF([2]!Table2[Código Institucional],[2]Existencia!C52:C331,[2]!Table2[Cantidad])</f>
        <v>0</v>
      </c>
      <c r="I52" s="15">
        <v>295</v>
      </c>
      <c r="J52" s="16">
        <f t="shared" si="0"/>
        <v>212.4</v>
      </c>
      <c r="K52" s="17">
        <f t="shared" si="1"/>
        <v>1392.4</v>
      </c>
    </row>
    <row r="53" spans="1:11" x14ac:dyDescent="0.25">
      <c r="A53" s="9">
        <v>43594</v>
      </c>
      <c r="B53" s="10">
        <v>44687</v>
      </c>
      <c r="C53" s="11">
        <v>1049</v>
      </c>
      <c r="D53" s="12" t="s">
        <v>62</v>
      </c>
      <c r="E53" s="13">
        <f>[2]!Table1[[#This Row],[Qty Entrada]]-[2]!Table1[[#This Row],[Qty Salida]]</f>
        <v>2</v>
      </c>
      <c r="F53" s="14" t="s">
        <v>24</v>
      </c>
      <c r="G53" s="14">
        <f>SUMIF([2]!Table3[Código Institucional],[2]Existencia!C53:C332,[2]!Table3[Cantidad])</f>
        <v>2</v>
      </c>
      <c r="H53" s="14">
        <f>SUMIF([2]!Table2[Código Institucional],[2]Existencia!C53:C332,[2]!Table2[Cantidad])</f>
        <v>0</v>
      </c>
      <c r="I53" s="15">
        <v>319</v>
      </c>
      <c r="J53" s="16">
        <f t="shared" si="0"/>
        <v>114.83999999999999</v>
      </c>
      <c r="K53" s="17">
        <f t="shared" si="1"/>
        <v>752.84</v>
      </c>
    </row>
    <row r="54" spans="1:11" x14ac:dyDescent="0.25">
      <c r="A54" s="18"/>
      <c r="B54" s="19"/>
      <c r="C54" s="20">
        <v>2075</v>
      </c>
      <c r="D54" s="21" t="s">
        <v>63</v>
      </c>
      <c r="E54" s="13">
        <f>[2]!Table1[[#This Row],[Qty Entrada]]-[2]!Table1[[#This Row],[Qty Salida]]</f>
        <v>0</v>
      </c>
      <c r="F54" s="14" t="s">
        <v>24</v>
      </c>
      <c r="G54" s="14">
        <f>SUMIF([2]!Table3[Código Institucional],[2]Existencia!C54:C310,[2]!Table3[Cantidad])</f>
        <v>1</v>
      </c>
      <c r="H54" s="14">
        <f>SUMIF([2]!Table2[Código Institucional],[2]Existencia!C54:C310,[2]!Table2[Cantidad])</f>
        <v>1</v>
      </c>
      <c r="I54" s="15">
        <v>4445</v>
      </c>
      <c r="J54" s="16">
        <f>I54*18%*E54</f>
        <v>0</v>
      </c>
      <c r="K54" s="17">
        <f>E54*I54+J54</f>
        <v>0</v>
      </c>
    </row>
    <row r="55" spans="1:11" x14ac:dyDescent="0.25">
      <c r="A55" s="18">
        <v>43594</v>
      </c>
      <c r="B55" s="22">
        <v>44315</v>
      </c>
      <c r="C55" s="11">
        <v>1051</v>
      </c>
      <c r="D55" s="12" t="s">
        <v>64</v>
      </c>
      <c r="E55" s="13">
        <f>[2]!Table1[[#This Row],[Qty Entrada]]-[2]!Table1[[#This Row],[Qty Salida]]</f>
        <v>-8</v>
      </c>
      <c r="F55" s="14" t="s">
        <v>24</v>
      </c>
      <c r="G55" s="14">
        <f>SUMIF([2]!Table3[Código Institucional],[2]Existencia!C55:C334,[2]!Table3[Cantidad])</f>
        <v>20</v>
      </c>
      <c r="H55" s="14">
        <f>SUMIF([2]!Table2[Código Institucional],[2]Existencia!C55:C334,[2]!Table2[Cantidad])</f>
        <v>28</v>
      </c>
      <c r="I55" s="15">
        <v>30</v>
      </c>
      <c r="J55" s="16">
        <f t="shared" si="0"/>
        <v>-43.199999999999996</v>
      </c>
      <c r="K55" s="17">
        <f t="shared" si="1"/>
        <v>-283.2</v>
      </c>
    </row>
    <row r="56" spans="1:11" x14ac:dyDescent="0.25">
      <c r="A56" s="18"/>
      <c r="B56" s="22"/>
      <c r="C56" s="20">
        <v>2063</v>
      </c>
      <c r="D56" s="21" t="s">
        <v>65</v>
      </c>
      <c r="E56" s="13">
        <f>[2]!Table1[[#This Row],[Qty Entrada]]-[2]!Table1[[#This Row],[Qty Salida]]</f>
        <v>6</v>
      </c>
      <c r="F56" s="14" t="s">
        <v>24</v>
      </c>
      <c r="G56" s="14">
        <f>SUMIF([2]!Table3[Código Institucional],[2]Existencia!C56:C309,[2]!Table3[Cantidad])</f>
        <v>6</v>
      </c>
      <c r="H56" s="14">
        <f>SUMIF([2]!Table2[Código Institucional],[2]Existencia!C56:C309,[2]!Table2[Cantidad])</f>
        <v>0</v>
      </c>
      <c r="I56" s="15">
        <v>35</v>
      </c>
      <c r="J56" s="16">
        <f t="shared" si="0"/>
        <v>37.799999999999997</v>
      </c>
      <c r="K56" s="17">
        <f>E56*I56+J56</f>
        <v>247.8</v>
      </c>
    </row>
    <row r="57" spans="1:11" x14ac:dyDescent="0.25">
      <c r="A57" s="18"/>
      <c r="B57" s="22"/>
      <c r="C57" s="20">
        <v>2127</v>
      </c>
      <c r="D57" s="21" t="s">
        <v>66</v>
      </c>
      <c r="E57" s="13">
        <f>[2]!Table1[[#This Row],[Qty Entrada]]-[2]!Table1[[#This Row],[Qty Salida]]</f>
        <v>6</v>
      </c>
      <c r="F57" s="14" t="s">
        <v>24</v>
      </c>
      <c r="G57" s="14">
        <f>SUMIF([2]!Table3[Código Institucional],[2]Existencia!C57:C287,[2]!Table3[Cantidad])</f>
        <v>6</v>
      </c>
      <c r="H57" s="14">
        <f>SUMIF([2]!Table2[Código Institucional],[2]Existencia!C57:C287,[2]!Table2[Cantidad])</f>
        <v>0</v>
      </c>
      <c r="I57" s="15">
        <v>39.119999999999997</v>
      </c>
      <c r="J57" s="16">
        <f t="shared" si="0"/>
        <v>42.249599999999994</v>
      </c>
      <c r="K57" s="17">
        <f>E57*I57+J57</f>
        <v>276.96959999999996</v>
      </c>
    </row>
    <row r="58" spans="1:11" x14ac:dyDescent="0.25">
      <c r="A58" s="9">
        <v>43594</v>
      </c>
      <c r="B58" s="10">
        <v>43717</v>
      </c>
      <c r="C58" s="11">
        <v>1052</v>
      </c>
      <c r="D58" s="12" t="s">
        <v>67</v>
      </c>
      <c r="E58" s="13">
        <f>[2]!Table1[[#This Row],[Qty Entrada]]-[2]!Table1[[#This Row],[Qty Salida]]</f>
        <v>26</v>
      </c>
      <c r="F58" s="14" t="s">
        <v>24</v>
      </c>
      <c r="G58" s="14">
        <f>SUMIF([2]!Table3[Código Institucional],[2]Existencia!C58:C335,[2]!Table3[Cantidad])</f>
        <v>37</v>
      </c>
      <c r="H58" s="14">
        <f>SUMIF([2]!Table2[Código Institucional],[2]Existencia!C58:C335,[2]!Table2[Cantidad])</f>
        <v>11</v>
      </c>
      <c r="I58" s="15">
        <v>30</v>
      </c>
      <c r="J58" s="16">
        <f t="shared" si="0"/>
        <v>140.39999999999998</v>
      </c>
      <c r="K58" s="17">
        <f t="shared" si="1"/>
        <v>920.4</v>
      </c>
    </row>
    <row r="59" spans="1:11" x14ac:dyDescent="0.25">
      <c r="A59" s="18">
        <v>43594</v>
      </c>
      <c r="B59" s="19">
        <v>43717</v>
      </c>
      <c r="C59" s="11">
        <v>1057</v>
      </c>
      <c r="D59" s="12" t="s">
        <v>68</v>
      </c>
      <c r="E59" s="13">
        <f>[2]!Table1[[#This Row],[Qty Entrada]]-[2]!Table1[[#This Row],[Qty Salida]]</f>
        <v>12</v>
      </c>
      <c r="F59" s="14" t="s">
        <v>30</v>
      </c>
      <c r="G59" s="14">
        <f>SUMIF([2]!Table3[Código Institucional],[2]Existencia!C59:C340,[2]!Table3[Cantidad])</f>
        <v>16</v>
      </c>
      <c r="H59" s="14">
        <f>SUMIF([2]!Table2[Código Institucional],[2]Existencia!C59:C340,[2]!Table2[Cantidad])</f>
        <v>4</v>
      </c>
      <c r="I59" s="15">
        <v>35</v>
      </c>
      <c r="J59" s="16">
        <f t="shared" si="0"/>
        <v>75.599999999999994</v>
      </c>
      <c r="K59" s="17">
        <f t="shared" si="1"/>
        <v>495.6</v>
      </c>
    </row>
    <row r="60" spans="1:11" x14ac:dyDescent="0.25">
      <c r="A60" s="9">
        <v>43594</v>
      </c>
      <c r="B60" s="26">
        <v>44315</v>
      </c>
      <c r="C60" s="11">
        <v>1059</v>
      </c>
      <c r="D60" s="12" t="s">
        <v>69</v>
      </c>
      <c r="E60" s="13">
        <f>[2]!Table1[[#This Row],[Qty Entrada]]-[2]!Table1[[#This Row],[Qty Salida]]</f>
        <v>5</v>
      </c>
      <c r="F60" s="14" t="s">
        <v>24</v>
      </c>
      <c r="G60" s="14">
        <f>SUMIF([2]!Table3[Código Institucional],[2]Existencia!C60:C342,[2]!Table3[Cantidad])</f>
        <v>10</v>
      </c>
      <c r="H60" s="14">
        <f>SUMIF([2]!Table2[Código Institucional],[2]Existencia!C60:C342,[2]!Table2[Cantidad])</f>
        <v>5</v>
      </c>
      <c r="I60" s="15">
        <v>48</v>
      </c>
      <c r="J60" s="16">
        <f t="shared" si="0"/>
        <v>43.2</v>
      </c>
      <c r="K60" s="17">
        <f t="shared" si="1"/>
        <v>283.2</v>
      </c>
    </row>
    <row r="61" spans="1:11" x14ac:dyDescent="0.25">
      <c r="A61" s="18"/>
      <c r="B61" s="22"/>
      <c r="C61" s="20">
        <v>2064</v>
      </c>
      <c r="D61" s="21" t="s">
        <v>70</v>
      </c>
      <c r="E61" s="13">
        <f>[2]!Table1[[#This Row],[Qty Entrada]]-[2]!Table1[[#This Row],[Qty Salida]]</f>
        <v>6</v>
      </c>
      <c r="F61" s="14" t="s">
        <v>24</v>
      </c>
      <c r="G61" s="14">
        <f>SUMIF([2]!Table3[Código Institucional],[2]Existencia!C61:C313,[2]!Table3[Cantidad])</f>
        <v>6</v>
      </c>
      <c r="H61" s="14">
        <f>SUMIF([2]!Table2[Código Institucional],[2]Existencia!C61:C313,[2]!Table2[Cantidad])</f>
        <v>0</v>
      </c>
      <c r="I61" s="15">
        <v>78</v>
      </c>
      <c r="J61" s="16">
        <f>I61*18%*E61</f>
        <v>84.24</v>
      </c>
      <c r="K61" s="17">
        <f>E61*I61+J61</f>
        <v>552.24</v>
      </c>
    </row>
    <row r="62" spans="1:11" x14ac:dyDescent="0.25">
      <c r="A62" s="18"/>
      <c r="B62" s="22"/>
      <c r="C62" s="20">
        <v>2181</v>
      </c>
      <c r="D62" s="21" t="s">
        <v>279</v>
      </c>
      <c r="E62" s="13">
        <f>[2]!Table1[[#This Row],[Qty Entrada]]-[2]!Table1[[#This Row],[Qty Salida]]</f>
        <v>15</v>
      </c>
      <c r="F62" s="14" t="s">
        <v>24</v>
      </c>
      <c r="G62" s="14">
        <f>SUMIF([2]!Table3[Código Institucional],[2]Existencia!C62:C283,[2]!Table3[Cantidad])</f>
        <v>15</v>
      </c>
      <c r="H62" s="14">
        <f>SUMIF([2]!Table2[Código Institucional],[2]Existencia!C62:C283,[2]!Table2[Cantidad])</f>
        <v>0</v>
      </c>
      <c r="I62" s="15">
        <v>69</v>
      </c>
      <c r="J62" s="16">
        <f>I62*18%*E62</f>
        <v>186.3</v>
      </c>
      <c r="K62" s="17">
        <f>E62*I62+J62</f>
        <v>1221.3</v>
      </c>
    </row>
    <row r="63" spans="1:11" x14ac:dyDescent="0.25">
      <c r="A63" s="18">
        <v>43594</v>
      </c>
      <c r="B63" s="19">
        <v>44687</v>
      </c>
      <c r="C63" s="11">
        <v>1060</v>
      </c>
      <c r="D63" s="12" t="s">
        <v>71</v>
      </c>
      <c r="E63" s="13">
        <f>[2]!Table1[[#This Row],[Qty Entrada]]-[2]!Table1[[#This Row],[Qty Salida]]</f>
        <v>5</v>
      </c>
      <c r="F63" s="14" t="s">
        <v>24</v>
      </c>
      <c r="G63" s="14">
        <f>SUMIF([2]!Table3[Código Institucional],[2]Existencia!C63:C343,[2]!Table3[Cantidad])</f>
        <v>5</v>
      </c>
      <c r="H63" s="14">
        <f>SUMIF([2]!Table2[Código Institucional],[2]Existencia!C63:C343,[2]!Table2[Cantidad])</f>
        <v>0</v>
      </c>
      <c r="I63" s="15">
        <v>45</v>
      </c>
      <c r="J63" s="16">
        <f t="shared" si="0"/>
        <v>40.5</v>
      </c>
      <c r="K63" s="17">
        <f t="shared" si="1"/>
        <v>265.5</v>
      </c>
    </row>
    <row r="64" spans="1:11" x14ac:dyDescent="0.25">
      <c r="A64" s="9">
        <v>43594</v>
      </c>
      <c r="B64" s="26">
        <v>44315</v>
      </c>
      <c r="C64" s="11">
        <v>1062</v>
      </c>
      <c r="D64" s="12" t="s">
        <v>72</v>
      </c>
      <c r="E64" s="13">
        <f>[2]!Table1[[#This Row],[Qty Entrada]]-[2]!Table1[[#This Row],[Qty Salida]]</f>
        <v>8</v>
      </c>
      <c r="F64" s="14" t="s">
        <v>24</v>
      </c>
      <c r="G64" s="14">
        <f>SUMIF([2]!Table3[Código Institucional],[2]Existencia!C64:C345,[2]!Table3[Cantidad])</f>
        <v>9</v>
      </c>
      <c r="H64" s="14">
        <f>SUMIF([2]!Table2[Código Institucional],[2]Existencia!C64:C345,[2]!Table2[Cantidad])</f>
        <v>1</v>
      </c>
      <c r="I64" s="15">
        <v>175</v>
      </c>
      <c r="J64" s="16">
        <f t="shared" si="0"/>
        <v>252</v>
      </c>
      <c r="K64" s="17">
        <f t="shared" si="1"/>
        <v>1652</v>
      </c>
    </row>
    <row r="65" spans="1:11" x14ac:dyDescent="0.25">
      <c r="A65" s="18">
        <v>43594</v>
      </c>
      <c r="B65" s="19">
        <v>44687</v>
      </c>
      <c r="C65" s="11">
        <v>1063</v>
      </c>
      <c r="D65" s="12" t="s">
        <v>73</v>
      </c>
      <c r="E65" s="13">
        <f>[2]!Table1[[#This Row],[Qty Entrada]]-[2]!Table1[[#This Row],[Qty Salida]]</f>
        <v>19</v>
      </c>
      <c r="F65" s="14" t="s">
        <v>24</v>
      </c>
      <c r="G65" s="14">
        <f>SUMIF([2]!Table3[Código Institucional],[2]Existencia!C65:C346,[2]!Table3[Cantidad])</f>
        <v>25</v>
      </c>
      <c r="H65" s="14">
        <f>SUMIF([2]!Table2[Código Institucional],[2]Existencia!C65:C346,[2]!Table2[Cantidad])</f>
        <v>6</v>
      </c>
      <c r="I65" s="15">
        <v>88</v>
      </c>
      <c r="J65" s="16">
        <f t="shared" si="0"/>
        <v>300.95999999999998</v>
      </c>
      <c r="K65" s="17">
        <f t="shared" si="1"/>
        <v>1972.96</v>
      </c>
    </row>
    <row r="66" spans="1:11" x14ac:dyDescent="0.25">
      <c r="A66" s="18"/>
      <c r="B66" s="19"/>
      <c r="C66" s="20">
        <v>2128</v>
      </c>
      <c r="D66" s="21" t="s">
        <v>74</v>
      </c>
      <c r="E66" s="13">
        <f>[2]!Table1[[#This Row],[Qty Entrada]]-[2]!Table1[[#This Row],[Qty Salida]]</f>
        <v>6</v>
      </c>
      <c r="F66" s="14" t="s">
        <v>24</v>
      </c>
      <c r="G66" s="14">
        <f>SUMIF([2]!Table3[Código Institucional],[2]Existencia!C66:C295,[2]!Table3[Cantidad])</f>
        <v>6</v>
      </c>
      <c r="H66" s="14">
        <f>SUMIF([2]!Table2[Código Institucional],[2]Existencia!C66:C295,[2]!Table2[Cantidad])</f>
        <v>0</v>
      </c>
      <c r="I66" s="15">
        <v>80</v>
      </c>
      <c r="J66" s="16">
        <f>I66*18%*E66</f>
        <v>86.399999999999991</v>
      </c>
      <c r="K66" s="17">
        <f>E66*I66+J66</f>
        <v>566.4</v>
      </c>
    </row>
    <row r="67" spans="1:11" x14ac:dyDescent="0.25">
      <c r="A67" s="18">
        <v>43594</v>
      </c>
      <c r="B67" s="19">
        <v>44687</v>
      </c>
      <c r="C67" s="11">
        <v>1065</v>
      </c>
      <c r="D67" s="12" t="s">
        <v>75</v>
      </c>
      <c r="E67" s="13">
        <f>[2]!Table1[[#This Row],[Qty Entrada]]-[2]!Table1[[#This Row],[Qty Salida]]</f>
        <v>14</v>
      </c>
      <c r="F67" s="14" t="s">
        <v>30</v>
      </c>
      <c r="G67" s="14">
        <f>SUMIF([2]!Table3[Código Institucional],[2]Existencia!C67:C348,[2]!Table3[Cantidad])</f>
        <v>14</v>
      </c>
      <c r="H67" s="14">
        <f>SUMIF([2]!Table2[Código Institucional],[2]Existencia!C67:C348,[2]!Table2[Cantidad])</f>
        <v>0</v>
      </c>
      <c r="I67" s="15">
        <v>122.88</v>
      </c>
      <c r="J67" s="16">
        <f t="shared" ref="J67:J130" si="2">I67*18%*E67</f>
        <v>309.65759999999995</v>
      </c>
      <c r="K67" s="17">
        <f t="shared" si="1"/>
        <v>2029.9775999999999</v>
      </c>
    </row>
    <row r="68" spans="1:11" x14ac:dyDescent="0.25">
      <c r="A68" s="18">
        <v>43594</v>
      </c>
      <c r="B68" s="19">
        <v>44687</v>
      </c>
      <c r="C68" s="11">
        <v>1066</v>
      </c>
      <c r="D68" s="12" t="s">
        <v>76</v>
      </c>
      <c r="E68" s="13">
        <f>[2]!Table1[[#This Row],[Qty Entrada]]-[2]!Table1[[#This Row],[Qty Salida]]</f>
        <v>7</v>
      </c>
      <c r="F68" s="14" t="s">
        <v>30</v>
      </c>
      <c r="G68" s="14">
        <f>SUMIF([2]!Table3[Código Institucional],[2]Existencia!C68:C349,[2]!Table3[Cantidad])</f>
        <v>7</v>
      </c>
      <c r="H68" s="14">
        <f>SUMIF([2]!Table2[Código Institucional],[2]Existencia!C68:C349,[2]!Table2[Cantidad])</f>
        <v>0</v>
      </c>
      <c r="I68" s="15">
        <v>29.5</v>
      </c>
      <c r="J68" s="16">
        <f t="shared" si="2"/>
        <v>37.169999999999995</v>
      </c>
      <c r="K68" s="17">
        <f t="shared" si="1"/>
        <v>243.67</v>
      </c>
    </row>
    <row r="69" spans="1:11" ht="11.25" customHeight="1" x14ac:dyDescent="0.25">
      <c r="A69" s="9">
        <v>43594</v>
      </c>
      <c r="B69" s="26">
        <v>44315</v>
      </c>
      <c r="C69" s="11">
        <v>1068</v>
      </c>
      <c r="D69" s="12" t="s">
        <v>77</v>
      </c>
      <c r="E69" s="13">
        <f>[2]!Table1[[#This Row],[Qty Entrada]]-[2]!Table1[[#This Row],[Qty Salida]]</f>
        <v>17</v>
      </c>
      <c r="F69" s="14" t="s">
        <v>30</v>
      </c>
      <c r="G69" s="14">
        <f>SUMIF([2]!Table3[Código Institucional],[2]Existencia!C69:C351,[2]!Table3[Cantidad])</f>
        <v>24</v>
      </c>
      <c r="H69" s="14">
        <f>SUMIF([2]!Table2[Código Institucional],[2]Existencia!C69:C351,[2]!Table2[Cantidad])</f>
        <v>7</v>
      </c>
      <c r="I69" s="15">
        <v>14</v>
      </c>
      <c r="J69" s="16">
        <f t="shared" si="2"/>
        <v>42.84</v>
      </c>
      <c r="K69" s="17">
        <f t="shared" si="1"/>
        <v>280.84000000000003</v>
      </c>
    </row>
    <row r="70" spans="1:11" ht="15.75" customHeight="1" x14ac:dyDescent="0.25">
      <c r="A70" s="18">
        <v>43594</v>
      </c>
      <c r="B70" s="19">
        <v>44687</v>
      </c>
      <c r="C70" s="11">
        <v>1070</v>
      </c>
      <c r="D70" s="12" t="s">
        <v>78</v>
      </c>
      <c r="E70" s="13">
        <f>[2]!Table1[[#This Row],[Qty Entrada]]-[2]!Table1[[#This Row],[Qty Salida]]</f>
        <v>26</v>
      </c>
      <c r="F70" s="14" t="s">
        <v>30</v>
      </c>
      <c r="G70" s="14">
        <f>SUMIF([2]!Table3[Código Institucional],[2]Existencia!C70:C353,[2]!Table3[Cantidad])</f>
        <v>37</v>
      </c>
      <c r="H70" s="14">
        <f>SUMIF([2]!Table2[Código Institucional],[2]Existencia!C70:C353,[2]!Table2[Cantidad])</f>
        <v>11</v>
      </c>
      <c r="I70" s="15">
        <v>395</v>
      </c>
      <c r="J70" s="16">
        <f t="shared" si="2"/>
        <v>1848.6</v>
      </c>
      <c r="K70" s="17">
        <f t="shared" si="1"/>
        <v>12118.6</v>
      </c>
    </row>
    <row r="71" spans="1:11" ht="11.25" customHeight="1" x14ac:dyDescent="0.25">
      <c r="A71" s="9">
        <v>43594</v>
      </c>
      <c r="B71" s="26">
        <v>44315</v>
      </c>
      <c r="C71" s="11">
        <v>1071</v>
      </c>
      <c r="D71" s="12" t="s">
        <v>79</v>
      </c>
      <c r="E71" s="13">
        <f>[2]!Table1[[#This Row],[Qty Entrada]]-[2]!Table1[[#This Row],[Qty Salida]]</f>
        <v>17</v>
      </c>
      <c r="F71" s="14" t="s">
        <v>24</v>
      </c>
      <c r="G71" s="14">
        <f>SUMIF([2]!Table3[Código Institucional],[2]Existencia!C71:C354,[2]!Table3[Cantidad])</f>
        <v>28</v>
      </c>
      <c r="H71" s="14">
        <f>SUMIF([2]!Table2[Código Institucional],[2]Existencia!C71:C354,[2]!Table2[Cantidad])</f>
        <v>11</v>
      </c>
      <c r="I71" s="15">
        <v>495</v>
      </c>
      <c r="J71" s="16">
        <f t="shared" si="2"/>
        <v>1514.6999999999998</v>
      </c>
      <c r="K71" s="17">
        <f t="shared" si="1"/>
        <v>9929.7000000000007</v>
      </c>
    </row>
    <row r="72" spans="1:11" x14ac:dyDescent="0.25">
      <c r="A72" s="18">
        <v>43594</v>
      </c>
      <c r="B72" s="22">
        <v>44315</v>
      </c>
      <c r="C72" s="11">
        <v>1073</v>
      </c>
      <c r="D72" s="12" t="s">
        <v>80</v>
      </c>
      <c r="E72" s="13">
        <f>[2]!Table1[[#This Row],[Qty Entrada]]-[2]!Table1[[#This Row],[Qty Salida]]</f>
        <v>7</v>
      </c>
      <c r="F72" s="14" t="s">
        <v>24</v>
      </c>
      <c r="G72" s="14">
        <f>SUMIF([2]!Table3[Código Institucional],[2]Existencia!C72:C356,[2]!Table3[Cantidad])</f>
        <v>16</v>
      </c>
      <c r="H72" s="14">
        <f>SUMIF([2]!Table2[Código Institucional],[2]Existencia!C72:C356,[2]!Table2[Cantidad])</f>
        <v>9</v>
      </c>
      <c r="I72" s="15">
        <v>35</v>
      </c>
      <c r="J72" s="16">
        <f t="shared" si="2"/>
        <v>44.1</v>
      </c>
      <c r="K72" s="17">
        <f t="shared" si="1"/>
        <v>289.10000000000002</v>
      </c>
    </row>
    <row r="73" spans="1:11" x14ac:dyDescent="0.25">
      <c r="A73" s="18"/>
      <c r="B73" s="22"/>
      <c r="C73" s="20">
        <v>2070</v>
      </c>
      <c r="D73" s="21" t="s">
        <v>81</v>
      </c>
      <c r="E73" s="13">
        <f>[2]!Table1[[#This Row],[Qty Entrada]]-[2]!Table1[[#This Row],[Qty Salida]]</f>
        <v>15</v>
      </c>
      <c r="F73" s="14" t="s">
        <v>24</v>
      </c>
      <c r="G73" s="14">
        <f>SUMIF([2]!Table3[Código Institucional],[2]Existencia!C73:C324,[2]!Table3[Cantidad])</f>
        <v>15</v>
      </c>
      <c r="H73" s="14">
        <f>SUMIF([2]!Table2[Código Institucional],[2]Existencia!C73:C324,[2]!Table2[Cantidad])</f>
        <v>0</v>
      </c>
      <c r="I73" s="15">
        <v>45</v>
      </c>
      <c r="J73" s="16">
        <f>I73*18%*E73</f>
        <v>121.5</v>
      </c>
      <c r="K73" s="17">
        <f>E73*I73+J73</f>
        <v>796.5</v>
      </c>
    </row>
    <row r="74" spans="1:11" x14ac:dyDescent="0.25">
      <c r="A74" s="9">
        <v>43594</v>
      </c>
      <c r="B74" s="26">
        <v>44315</v>
      </c>
      <c r="C74" s="11">
        <v>1074</v>
      </c>
      <c r="D74" s="12" t="s">
        <v>82</v>
      </c>
      <c r="E74" s="13">
        <f>[2]!Table1[[#This Row],[Qty Entrada]]-[2]!Table1[[#This Row],[Qty Salida]]</f>
        <v>45</v>
      </c>
      <c r="F74" s="14" t="s">
        <v>24</v>
      </c>
      <c r="G74" s="14">
        <f>SUMIF([2]!Table3[Código Institucional],[2]Existencia!C74:C357,[2]!Table3[Cantidad])</f>
        <v>46</v>
      </c>
      <c r="H74" s="14">
        <f>SUMIF([2]!Table2[Código Institucional],[2]Existencia!C74:C357,[2]!Table2[Cantidad])</f>
        <v>1</v>
      </c>
      <c r="I74" s="15">
        <v>30</v>
      </c>
      <c r="J74" s="16">
        <f t="shared" si="2"/>
        <v>242.99999999999997</v>
      </c>
      <c r="K74" s="17">
        <f t="shared" ref="K74:K132" si="3">E74*I74+J74</f>
        <v>1593</v>
      </c>
    </row>
    <row r="75" spans="1:11" x14ac:dyDescent="0.25">
      <c r="A75" s="18">
        <v>43594</v>
      </c>
      <c r="B75" s="19">
        <v>44687</v>
      </c>
      <c r="C75" s="11">
        <v>1075</v>
      </c>
      <c r="D75" s="12" t="s">
        <v>83</v>
      </c>
      <c r="E75" s="13">
        <f>[2]!Table1[[#This Row],[Qty Entrada]]-[2]!Table1[[#This Row],[Qty Salida]]</f>
        <v>35</v>
      </c>
      <c r="F75" s="14" t="s">
        <v>24</v>
      </c>
      <c r="G75" s="14">
        <f>SUMIF([2]!Table3[Código Institucional],[2]Existencia!C75:C358,[2]!Table3[Cantidad])</f>
        <v>43</v>
      </c>
      <c r="H75" s="14">
        <f>SUMIF([2]!Table2[Código Institucional],[2]Existencia!C75:C358,[2]!Table2[Cantidad])</f>
        <v>8</v>
      </c>
      <c r="I75" s="15">
        <v>13.76</v>
      </c>
      <c r="J75" s="16">
        <f t="shared" si="2"/>
        <v>86.688000000000002</v>
      </c>
      <c r="K75" s="17">
        <f t="shared" si="3"/>
        <v>568.28800000000001</v>
      </c>
    </row>
    <row r="76" spans="1:11" x14ac:dyDescent="0.25">
      <c r="A76" s="18"/>
      <c r="B76" s="19"/>
      <c r="C76" s="20">
        <v>2068</v>
      </c>
      <c r="D76" s="21" t="s">
        <v>84</v>
      </c>
      <c r="E76" s="13">
        <f>[2]!Table1[[#This Row],[Qty Entrada]]-[2]!Table1[[#This Row],[Qty Salida]]</f>
        <v>10</v>
      </c>
      <c r="F76" s="14" t="s">
        <v>24</v>
      </c>
      <c r="G76" s="14">
        <f>SUMIF([2]!Table3[Código Institucional],[2]Existencia!C76:C326,[2]!Table3[Cantidad])</f>
        <v>12</v>
      </c>
      <c r="H76" s="14">
        <f>SUMIF([2]!Table2[Código Institucional],[2]Existencia!C76:C326,[2]!Table2[Cantidad])</f>
        <v>2</v>
      </c>
      <c r="I76" s="15">
        <v>26</v>
      </c>
      <c r="J76" s="16">
        <f>I76*18%*E76</f>
        <v>46.8</v>
      </c>
      <c r="K76" s="17">
        <f>E76*I76+J76</f>
        <v>306.8</v>
      </c>
    </row>
    <row r="77" spans="1:11" x14ac:dyDescent="0.25">
      <c r="A77" s="9">
        <v>43594</v>
      </c>
      <c r="B77" s="10">
        <v>44687</v>
      </c>
      <c r="C77" s="11">
        <v>1076</v>
      </c>
      <c r="D77" s="12" t="s">
        <v>85</v>
      </c>
      <c r="E77" s="13">
        <f>[2]!Table1[[#This Row],[Qty Entrada]]-[2]!Table1[[#This Row],[Qty Salida]]</f>
        <v>8</v>
      </c>
      <c r="F77" s="14" t="s">
        <v>24</v>
      </c>
      <c r="G77" s="14">
        <f>SUMIF([2]!Table3[Código Institucional],[2]Existencia!C77:C359,[2]!Table3[Cantidad])</f>
        <v>9</v>
      </c>
      <c r="H77" s="14">
        <f>SUMIF([2]!Table2[Código Institucional],[2]Existencia!C77:C359,[2]!Table2[Cantidad])</f>
        <v>1</v>
      </c>
      <c r="I77" s="15">
        <v>37.130000000000003</v>
      </c>
      <c r="J77" s="16">
        <f t="shared" si="2"/>
        <v>53.467199999999998</v>
      </c>
      <c r="K77" s="17">
        <f t="shared" si="3"/>
        <v>350.50720000000001</v>
      </c>
    </row>
    <row r="78" spans="1:11" x14ac:dyDescent="0.25">
      <c r="A78" s="18">
        <v>43594</v>
      </c>
      <c r="B78" s="19">
        <v>44687</v>
      </c>
      <c r="C78" s="11">
        <v>1077</v>
      </c>
      <c r="D78" s="12" t="s">
        <v>86</v>
      </c>
      <c r="E78" s="13">
        <f>[2]!Table1[[#This Row],[Qty Entrada]]-[2]!Table1[[#This Row],[Qty Salida]]</f>
        <v>28</v>
      </c>
      <c r="F78" s="14" t="s">
        <v>24</v>
      </c>
      <c r="G78" s="14">
        <f>SUMIF([2]!Table3[Código Institucional],[2]Existencia!C78:C360,[2]!Table3[Cantidad])</f>
        <v>36</v>
      </c>
      <c r="H78" s="14">
        <f>SUMIF([2]!Table2[Código Institucional],[2]Existencia!C78:C360,[2]!Table2[Cantidad])</f>
        <v>8</v>
      </c>
      <c r="I78" s="15">
        <v>23.25</v>
      </c>
      <c r="J78" s="16">
        <f t="shared" si="2"/>
        <v>117.17999999999999</v>
      </c>
      <c r="K78" s="17">
        <f t="shared" si="3"/>
        <v>768.18</v>
      </c>
    </row>
    <row r="79" spans="1:11" x14ac:dyDescent="0.25">
      <c r="A79" s="18"/>
      <c r="B79" s="19"/>
      <c r="C79" s="20">
        <v>2069</v>
      </c>
      <c r="D79" s="21" t="s">
        <v>87</v>
      </c>
      <c r="E79" s="13">
        <f>[2]!Table1[[#This Row],[Qty Entrada]]-[2]!Table1[[#This Row],[Qty Salida]]</f>
        <v>31</v>
      </c>
      <c r="F79" s="14" t="s">
        <v>24</v>
      </c>
      <c r="G79" s="14">
        <f>SUMIF([2]!Table3[Código Institucional],[2]Existencia!C79:C329,[2]!Table3[Cantidad])</f>
        <v>36</v>
      </c>
      <c r="H79" s="14">
        <f>SUMIF([2]!Table2[Código Institucional],[2]Existencia!C79:C329,[2]!Table2[Cantidad])</f>
        <v>5</v>
      </c>
      <c r="I79" s="15">
        <v>68</v>
      </c>
      <c r="J79" s="16">
        <f>I79*18%*E79</f>
        <v>379.44</v>
      </c>
      <c r="K79" s="17">
        <f>E79*I79+J79</f>
        <v>2487.44</v>
      </c>
    </row>
    <row r="80" spans="1:11" x14ac:dyDescent="0.25">
      <c r="A80" s="18"/>
      <c r="B80" s="19"/>
      <c r="C80" s="20">
        <v>2135</v>
      </c>
      <c r="D80" s="21" t="s">
        <v>88</v>
      </c>
      <c r="E80" s="13">
        <f>[2]!Table1[[#This Row],[Qty Entrada]]-[2]!Table1[[#This Row],[Qty Salida]]</f>
        <v>60</v>
      </c>
      <c r="F80" s="14" t="s">
        <v>24</v>
      </c>
      <c r="G80" s="14">
        <f>SUMIF([2]!Table3[Código Institucional],[2]Existencia!C80:C310,[2]!Table3[Cantidad])</f>
        <v>60</v>
      </c>
      <c r="H80" s="14">
        <f>SUMIF([2]!Table2[Código Institucional],[2]Existencia!C80:C310,[2]!Table2[Cantidad])</f>
        <v>0</v>
      </c>
      <c r="I80" s="15">
        <v>17</v>
      </c>
      <c r="J80" s="16">
        <f>I80*18%*E80</f>
        <v>183.6</v>
      </c>
      <c r="K80" s="17">
        <f>E80*I80+J80</f>
        <v>1203.5999999999999</v>
      </c>
    </row>
    <row r="81" spans="1:11" x14ac:dyDescent="0.25">
      <c r="A81" s="18">
        <v>43594</v>
      </c>
      <c r="B81" s="29" t="s">
        <v>89</v>
      </c>
      <c r="C81" s="11">
        <v>1080</v>
      </c>
      <c r="D81" s="12" t="s">
        <v>90</v>
      </c>
      <c r="E81" s="13">
        <f>[2]!Table1[[#This Row],[Qty Entrada]]-[2]!Table1[[#This Row],[Qty Salida]]</f>
        <v>10</v>
      </c>
      <c r="F81" s="14" t="s">
        <v>24</v>
      </c>
      <c r="G81" s="14">
        <f>SUMIF([2]!Table3[Código Institucional],[2]Existencia!C81:C363,[2]!Table3[Cantidad])</f>
        <v>10</v>
      </c>
      <c r="H81" s="14">
        <f>SUMIF([2]!Table2[Código Institucional],[2]Existencia!C81:C363,[2]!Table2[Cantidad])</f>
        <v>0</v>
      </c>
      <c r="I81" s="15">
        <v>59</v>
      </c>
      <c r="J81" s="16">
        <f t="shared" si="2"/>
        <v>106.19999999999999</v>
      </c>
      <c r="K81" s="17">
        <f t="shared" si="3"/>
        <v>696.2</v>
      </c>
    </row>
    <row r="82" spans="1:11" x14ac:dyDescent="0.25">
      <c r="A82" s="9">
        <v>43594</v>
      </c>
      <c r="B82" s="26">
        <v>44315</v>
      </c>
      <c r="C82" s="11">
        <v>1081</v>
      </c>
      <c r="D82" s="12" t="s">
        <v>91</v>
      </c>
      <c r="E82" s="13">
        <f>[2]!Table1[[#This Row],[Qty Entrada]]-[2]!Table1[[#This Row],[Qty Salida]]</f>
        <v>13</v>
      </c>
      <c r="F82" s="14" t="s">
        <v>24</v>
      </c>
      <c r="G82" s="14">
        <f>SUMIF([2]!Table3[Código Institucional],[2]Existencia!C82:C364,[2]!Table3[Cantidad])</f>
        <v>13</v>
      </c>
      <c r="H82" s="14">
        <f>SUMIF([2]!Table2[Código Institucional],[2]Existencia!C82:C364,[2]!Table2[Cantidad])</f>
        <v>0</v>
      </c>
      <c r="I82" s="15">
        <v>59</v>
      </c>
      <c r="J82" s="16">
        <f t="shared" si="2"/>
        <v>138.06</v>
      </c>
      <c r="K82" s="17">
        <f t="shared" si="3"/>
        <v>905.06</v>
      </c>
    </row>
    <row r="83" spans="1:11" x14ac:dyDescent="0.25">
      <c r="A83" s="18"/>
      <c r="B83" s="22"/>
      <c r="C83" s="20">
        <v>2073</v>
      </c>
      <c r="D83" s="21" t="s">
        <v>92</v>
      </c>
      <c r="E83" s="13">
        <f>[2]!Table1[[#This Row],[Qty Entrada]]-[2]!Table1[[#This Row],[Qty Salida]]</f>
        <v>6</v>
      </c>
      <c r="F83" s="14" t="s">
        <v>24</v>
      </c>
      <c r="G83" s="14">
        <f>SUMIF([2]!Table3[Código Institucional],[2]Existencia!C83:C334,[2]!Table3[Cantidad])</f>
        <v>6</v>
      </c>
      <c r="H83" s="14">
        <f>SUMIF([2]!Table2[Código Institucional],[2]Existencia!C83:C334,[2]!Table2[Cantidad])</f>
        <v>0</v>
      </c>
      <c r="I83" s="15">
        <v>58</v>
      </c>
      <c r="J83" s="16">
        <f>I83*18%*E83</f>
        <v>62.64</v>
      </c>
      <c r="K83" s="17">
        <f>E83*I83+J83</f>
        <v>410.64</v>
      </c>
    </row>
    <row r="84" spans="1:11" x14ac:dyDescent="0.25">
      <c r="A84" s="18">
        <v>43594</v>
      </c>
      <c r="B84" s="19">
        <v>44687</v>
      </c>
      <c r="C84" s="11">
        <v>1082</v>
      </c>
      <c r="D84" s="12" t="s">
        <v>93</v>
      </c>
      <c r="E84" s="13">
        <f>[2]!Table1[[#This Row],[Qty Entrada]]-[2]!Table1[[#This Row],[Qty Salida]]</f>
        <v>22</v>
      </c>
      <c r="F84" s="14" t="s">
        <v>24</v>
      </c>
      <c r="G84" s="14">
        <f>SUMIF([2]!Table3[Código Institucional],[2]Existencia!C84:C365,[2]!Table3[Cantidad])</f>
        <v>22</v>
      </c>
      <c r="H84" s="14">
        <f>SUMIF([2]!Table2[Código Institucional],[2]Existencia!C84:C365,[2]!Table2[Cantidad])</f>
        <v>0</v>
      </c>
      <c r="I84" s="15">
        <v>22</v>
      </c>
      <c r="J84" s="16">
        <f t="shared" si="2"/>
        <v>87.12</v>
      </c>
      <c r="K84" s="17">
        <f t="shared" si="3"/>
        <v>571.12</v>
      </c>
    </row>
    <row r="85" spans="1:11" x14ac:dyDescent="0.25">
      <c r="A85" s="9">
        <v>43594</v>
      </c>
      <c r="B85" s="26">
        <v>44315</v>
      </c>
      <c r="C85" s="11">
        <v>1083</v>
      </c>
      <c r="D85" s="12" t="s">
        <v>94</v>
      </c>
      <c r="E85" s="13">
        <f>[2]!Table1[[#This Row],[Qty Entrada]]-[2]!Table1[[#This Row],[Qty Salida]]</f>
        <v>22</v>
      </c>
      <c r="F85" s="14" t="s">
        <v>24</v>
      </c>
      <c r="G85" s="14">
        <f>SUMIF([2]!Table3[Código Institucional],[2]Existencia!C85:C366,[2]!Table3[Cantidad])</f>
        <v>24</v>
      </c>
      <c r="H85" s="14">
        <f>SUMIF([2]!Table2[Código Institucional],[2]Existencia!C85:C366,[2]!Table2[Cantidad])</f>
        <v>2</v>
      </c>
      <c r="I85" s="15">
        <v>22</v>
      </c>
      <c r="J85" s="16">
        <f t="shared" si="2"/>
        <v>87.12</v>
      </c>
      <c r="K85" s="17">
        <f t="shared" si="3"/>
        <v>571.12</v>
      </c>
    </row>
    <row r="86" spans="1:11" x14ac:dyDescent="0.25">
      <c r="A86" s="18">
        <v>43594</v>
      </c>
      <c r="B86" s="19">
        <v>44687</v>
      </c>
      <c r="C86" s="11">
        <v>1084</v>
      </c>
      <c r="D86" s="12" t="s">
        <v>95</v>
      </c>
      <c r="E86" s="13">
        <f>[2]!Table1[[#This Row],[Qty Entrada]]-[2]!Table1[[#This Row],[Qty Salida]]</f>
        <v>24</v>
      </c>
      <c r="F86" s="14" t="s">
        <v>24</v>
      </c>
      <c r="G86" s="14">
        <f>SUMIF([2]!Table3[Código Institucional],[2]Existencia!C86:C367,[2]!Table3[Cantidad])</f>
        <v>25</v>
      </c>
      <c r="H86" s="14">
        <f>SUMIF([2]!Table2[Código Institucional],[2]Existencia!C86:C367,[2]!Table2[Cantidad])</f>
        <v>1</v>
      </c>
      <c r="I86" s="15">
        <v>22</v>
      </c>
      <c r="J86" s="16">
        <f t="shared" si="2"/>
        <v>95.039999999999992</v>
      </c>
      <c r="K86" s="17">
        <f t="shared" si="3"/>
        <v>623.04</v>
      </c>
    </row>
    <row r="87" spans="1:11" x14ac:dyDescent="0.25">
      <c r="A87" s="9">
        <v>43594</v>
      </c>
      <c r="B87" s="10">
        <v>44687</v>
      </c>
      <c r="C87" s="11">
        <v>1085</v>
      </c>
      <c r="D87" s="12" t="s">
        <v>96</v>
      </c>
      <c r="E87" s="13">
        <f>[2]!Table1[[#This Row],[Qty Entrada]]-[2]!Table1[[#This Row],[Qty Salida]]</f>
        <v>5</v>
      </c>
      <c r="F87" s="14" t="s">
        <v>24</v>
      </c>
      <c r="G87" s="14">
        <f>SUMIF([2]!Table3[Código Institucional],[2]Existencia!C87:C368,[2]!Table3[Cantidad])</f>
        <v>10</v>
      </c>
      <c r="H87" s="14">
        <f>SUMIF([2]!Table2[Código Institucional],[2]Existencia!C87:C368,[2]!Table2[Cantidad])</f>
        <v>5</v>
      </c>
      <c r="I87" s="15">
        <v>22</v>
      </c>
      <c r="J87" s="16">
        <f t="shared" si="2"/>
        <v>19.8</v>
      </c>
      <c r="K87" s="17">
        <f t="shared" si="3"/>
        <v>129.80000000000001</v>
      </c>
    </row>
    <row r="88" spans="1:11" x14ac:dyDescent="0.25">
      <c r="A88" s="18"/>
      <c r="B88" s="19"/>
      <c r="C88" s="20">
        <v>2138</v>
      </c>
      <c r="D88" s="21" t="s">
        <v>97</v>
      </c>
      <c r="E88" s="13">
        <f>[2]!Table1[[#This Row],[Qty Entrada]]-[2]!Table1[[#This Row],[Qty Salida]]</f>
        <v>12</v>
      </c>
      <c r="F88" s="14" t="s">
        <v>24</v>
      </c>
      <c r="G88" s="14">
        <f>SUMIF([2]!Table3[Código Institucional],[2]Existencia!C88:C319,[2]!Table3[Cantidad])</f>
        <v>12</v>
      </c>
      <c r="H88" s="14">
        <f>SUMIF([2]!Table2[Código Institucional],[2]Existencia!C88:C319,[2]!Table2[Cantidad])</f>
        <v>0</v>
      </c>
      <c r="I88" s="15">
        <v>48</v>
      </c>
      <c r="J88" s="16">
        <f>I88*18%*E88</f>
        <v>103.68</v>
      </c>
      <c r="K88" s="17">
        <f>E88*I88+J88</f>
        <v>679.68000000000006</v>
      </c>
    </row>
    <row r="89" spans="1:11" x14ac:dyDescent="0.25">
      <c r="A89" s="18">
        <v>43594</v>
      </c>
      <c r="B89" s="19">
        <v>44687</v>
      </c>
      <c r="C89" s="11">
        <v>1086</v>
      </c>
      <c r="D89" s="25" t="s">
        <v>98</v>
      </c>
      <c r="E89" s="13">
        <f>[2]!Table1[[#This Row],[Qty Entrada]]-[2]!Table1[[#This Row],[Qty Salida]]</f>
        <v>21</v>
      </c>
      <c r="F89" s="14" t="s">
        <v>24</v>
      </c>
      <c r="G89" s="14">
        <f>SUMIF([2]!Table3[Código Institucional],[2]Existencia!C89:C369,[2]!Table3[Cantidad])</f>
        <v>24</v>
      </c>
      <c r="H89" s="14">
        <f>SUMIF([2]!Table2[Código Institucional],[2]Existencia!C89:C369,[2]!Table2[Cantidad])</f>
        <v>3</v>
      </c>
      <c r="I89" s="15">
        <v>59</v>
      </c>
      <c r="J89" s="16">
        <f t="shared" si="2"/>
        <v>223.01999999999998</v>
      </c>
      <c r="K89" s="17">
        <f t="shared" si="3"/>
        <v>1462.02</v>
      </c>
    </row>
    <row r="90" spans="1:11" x14ac:dyDescent="0.25">
      <c r="A90" s="18"/>
      <c r="B90" s="19"/>
      <c r="C90" s="20">
        <v>2072</v>
      </c>
      <c r="D90" s="21" t="s">
        <v>99</v>
      </c>
      <c r="E90" s="13">
        <f>[2]!Table1[[#This Row],[Qty Entrada]]-[2]!Table1[[#This Row],[Qty Salida]]</f>
        <v>6</v>
      </c>
      <c r="F90" s="14" t="s">
        <v>24</v>
      </c>
      <c r="G90" s="14">
        <f>SUMIF([2]!Table3[Código Institucional],[2]Existencia!C90:C339,[2]!Table3[Cantidad])</f>
        <v>6</v>
      </c>
      <c r="H90" s="14">
        <f>SUMIF([2]!Table2[Código Institucional],[2]Existencia!C90:C339,[2]!Table2[Cantidad])</f>
        <v>0</v>
      </c>
      <c r="I90" s="15">
        <v>58</v>
      </c>
      <c r="J90" s="16">
        <f>I90*18%*E90</f>
        <v>62.64</v>
      </c>
      <c r="K90" s="17">
        <f>E90*I90+J90</f>
        <v>410.64</v>
      </c>
    </row>
    <row r="91" spans="1:11" x14ac:dyDescent="0.25">
      <c r="A91" s="9">
        <v>43594</v>
      </c>
      <c r="B91" s="10">
        <v>44687</v>
      </c>
      <c r="C91" s="11">
        <v>1087</v>
      </c>
      <c r="D91" s="25" t="s">
        <v>100</v>
      </c>
      <c r="E91" s="13">
        <f>[2]!Table1[[#This Row],[Qty Entrada]]-[2]!Table1[[#This Row],[Qty Salida]]</f>
        <v>11</v>
      </c>
      <c r="F91" s="14" t="s">
        <v>24</v>
      </c>
      <c r="G91" s="14">
        <f>SUMIF([2]!Table3[Código Institucional],[2]Existencia!C91:C370,[2]!Table3[Cantidad])</f>
        <v>12</v>
      </c>
      <c r="H91" s="14">
        <f>SUMIF([2]!Table2[Código Institucional],[2]Existencia!C91:C370,[2]!Table2[Cantidad])</f>
        <v>1</v>
      </c>
      <c r="I91" s="15">
        <v>59</v>
      </c>
      <c r="J91" s="16">
        <f t="shared" si="2"/>
        <v>116.82</v>
      </c>
      <c r="K91" s="17">
        <f t="shared" si="3"/>
        <v>765.81999999999994</v>
      </c>
    </row>
    <row r="92" spans="1:11" x14ac:dyDescent="0.25">
      <c r="A92" s="18">
        <v>43594</v>
      </c>
      <c r="B92" s="19">
        <v>44687</v>
      </c>
      <c r="C92" s="11">
        <v>1088</v>
      </c>
      <c r="D92" s="25" t="s">
        <v>101</v>
      </c>
      <c r="E92" s="13">
        <f>[2]!Table1[[#This Row],[Qty Entrada]]-[2]!Table1[[#This Row],[Qty Salida]]</f>
        <v>31</v>
      </c>
      <c r="F92" s="14" t="s">
        <v>24</v>
      </c>
      <c r="G92" s="14">
        <f>SUMIF([2]!Table3[Código Institucional],[2]Existencia!C92:C371,[2]!Table3[Cantidad])</f>
        <v>31</v>
      </c>
      <c r="H92" s="14">
        <f>SUMIF([2]!Table2[Código Institucional],[2]Existencia!C92:C371,[2]!Table2[Cantidad])</f>
        <v>0</v>
      </c>
      <c r="I92" s="15">
        <v>32.200000000000003</v>
      </c>
      <c r="J92" s="16">
        <f t="shared" si="2"/>
        <v>179.67600000000002</v>
      </c>
      <c r="K92" s="17">
        <f t="shared" si="3"/>
        <v>1177.876</v>
      </c>
    </row>
    <row r="93" spans="1:11" x14ac:dyDescent="0.25">
      <c r="A93" s="9">
        <v>43594</v>
      </c>
      <c r="B93" s="10">
        <v>44687</v>
      </c>
      <c r="C93" s="11">
        <v>1091</v>
      </c>
      <c r="D93" s="12" t="s">
        <v>102</v>
      </c>
      <c r="E93" s="13">
        <f>[2]!Table1[[#This Row],[Qty Entrada]]-[2]!Table1[[#This Row],[Qty Salida]]</f>
        <v>10</v>
      </c>
      <c r="F93" s="14" t="s">
        <v>30</v>
      </c>
      <c r="G93" s="14">
        <f>SUMIF([2]!Table3[Código Institucional],[2]Existencia!C93:C374,[2]!Table3[Cantidad])</f>
        <v>10</v>
      </c>
      <c r="H93" s="14">
        <f>SUMIF([2]!Table2[Código Institucional],[2]Existencia!C93:C374,[2]!Table2[Cantidad])</f>
        <v>0</v>
      </c>
      <c r="I93" s="15">
        <v>108</v>
      </c>
      <c r="J93" s="16">
        <f t="shared" si="2"/>
        <v>194.39999999999998</v>
      </c>
      <c r="K93" s="17">
        <f t="shared" si="3"/>
        <v>1274.4000000000001</v>
      </c>
    </row>
    <row r="94" spans="1:11" x14ac:dyDescent="0.25">
      <c r="A94" s="18"/>
      <c r="B94" s="19"/>
      <c r="C94" s="20">
        <v>2130</v>
      </c>
      <c r="D94" s="21" t="s">
        <v>103</v>
      </c>
      <c r="E94" s="13">
        <f>[2]!Table1[[#This Row],[Qty Entrada]]-[2]!Table1[[#This Row],[Qty Salida]]</f>
        <v>5</v>
      </c>
      <c r="F94" s="14" t="s">
        <v>30</v>
      </c>
      <c r="G94" s="14">
        <f>SUMIF([2]!Table3[Código Institucional],[2]Existencia!C94:C322,[2]!Table3[Cantidad])</f>
        <v>5</v>
      </c>
      <c r="H94" s="14">
        <f>SUMIF([2]!Table2[Código Institucional],[2]Existencia!C94:C322,[2]!Table2[Cantidad])</f>
        <v>0</v>
      </c>
      <c r="I94" s="15">
        <v>148</v>
      </c>
      <c r="J94" s="16">
        <f>I94*18%*E94</f>
        <v>133.19999999999999</v>
      </c>
      <c r="K94" s="17">
        <f>E94*I94+J94</f>
        <v>873.2</v>
      </c>
    </row>
    <row r="95" spans="1:11" x14ac:dyDescent="0.25">
      <c r="A95" s="18">
        <v>43594</v>
      </c>
      <c r="B95" s="19">
        <v>44687</v>
      </c>
      <c r="C95" s="11">
        <v>1093</v>
      </c>
      <c r="D95" s="25" t="s">
        <v>104</v>
      </c>
      <c r="E95" s="13">
        <f>[2]!Table1[[#This Row],[Qty Entrada]]-[2]!Table1[[#This Row],[Qty Salida]]</f>
        <v>8</v>
      </c>
      <c r="F95" s="14" t="s">
        <v>30</v>
      </c>
      <c r="G95" s="14">
        <f>SUMIF([2]!Table3[Código Institucional],[2]Existencia!C95:C376,[2]!Table3[Cantidad])</f>
        <v>14</v>
      </c>
      <c r="H95" s="14">
        <f>SUMIF([2]!Table2[Código Institucional],[2]Existencia!C95:C376,[2]!Table2[Cantidad])</f>
        <v>6</v>
      </c>
      <c r="I95" s="15">
        <v>65</v>
      </c>
      <c r="J95" s="16">
        <f t="shared" si="2"/>
        <v>93.6</v>
      </c>
      <c r="K95" s="17">
        <f t="shared" si="3"/>
        <v>613.6</v>
      </c>
    </row>
    <row r="96" spans="1:11" x14ac:dyDescent="0.25">
      <c r="A96" s="18"/>
      <c r="B96" s="19"/>
      <c r="C96" s="20">
        <v>2131</v>
      </c>
      <c r="D96" s="21" t="s">
        <v>105</v>
      </c>
      <c r="E96" s="13">
        <f>[2]!Table1[[#This Row],[Qty Entrada]]-[2]!Table1[[#This Row],[Qty Salida]]</f>
        <v>10</v>
      </c>
      <c r="F96" s="14" t="s">
        <v>30</v>
      </c>
      <c r="G96" s="14">
        <f>SUMIF([2]!Table3[Código Institucional],[2]Existencia!C96:C324,[2]!Table3[Cantidad])</f>
        <v>10</v>
      </c>
      <c r="H96" s="14">
        <f>SUMIF([2]!Table2[Código Institucional],[2]Existencia!C96:C324,[2]!Table2[Cantidad])</f>
        <v>0</v>
      </c>
      <c r="I96" s="15">
        <v>88</v>
      </c>
      <c r="J96" s="16">
        <f>I96*18%*E96</f>
        <v>158.4</v>
      </c>
      <c r="K96" s="17">
        <f>E96*I96+J96</f>
        <v>1038.4000000000001</v>
      </c>
    </row>
    <row r="97" spans="1:11" x14ac:dyDescent="0.25">
      <c r="A97" s="9">
        <v>43594</v>
      </c>
      <c r="B97" s="26">
        <v>44315</v>
      </c>
      <c r="C97" s="11">
        <v>1095</v>
      </c>
      <c r="D97" s="25" t="s">
        <v>106</v>
      </c>
      <c r="E97" s="13">
        <f>[2]!Table1[[#This Row],[Qty Entrada]]-[2]!Table1[[#This Row],[Qty Salida]]</f>
        <v>19</v>
      </c>
      <c r="F97" s="14" t="s">
        <v>30</v>
      </c>
      <c r="G97" s="14">
        <f>SUMIF([2]!Table3[Código Institucional],[2]Existencia!C97:C378,[2]!Table3[Cantidad])</f>
        <v>27</v>
      </c>
      <c r="H97" s="14">
        <f>SUMIF([2]!Table2[Código Institucional],[2]Existencia!C97:C378,[2]!Table2[Cantidad])</f>
        <v>8</v>
      </c>
      <c r="I97" s="15">
        <v>55</v>
      </c>
      <c r="J97" s="16">
        <f t="shared" si="2"/>
        <v>188.1</v>
      </c>
      <c r="K97" s="17">
        <f t="shared" si="3"/>
        <v>1233.0999999999999</v>
      </c>
    </row>
    <row r="98" spans="1:11" x14ac:dyDescent="0.25">
      <c r="A98" s="18"/>
      <c r="B98" s="22"/>
      <c r="C98" s="20">
        <v>2133</v>
      </c>
      <c r="D98" s="21" t="s">
        <v>107</v>
      </c>
      <c r="E98" s="13">
        <f>[2]!Table1[[#This Row],[Qty Entrada]]-[2]!Table1[[#This Row],[Qty Salida]]</f>
        <v>5</v>
      </c>
      <c r="F98" s="14" t="s">
        <v>30</v>
      </c>
      <c r="G98" s="14">
        <f>SUMIF([2]!Table3[Código Institucional],[2]Existencia!C98:C326,[2]!Table3[Cantidad])</f>
        <v>5</v>
      </c>
      <c r="H98" s="14">
        <f>SUMIF([2]!Table2[Código Institucional],[2]Existencia!C98:C326,[2]!Table2[Cantidad])</f>
        <v>0</v>
      </c>
      <c r="I98" s="15">
        <v>55</v>
      </c>
      <c r="J98" s="16">
        <f>I98*18%*E98</f>
        <v>49.5</v>
      </c>
      <c r="K98" s="17">
        <f>E98*I98+J98</f>
        <v>324.5</v>
      </c>
    </row>
    <row r="99" spans="1:11" x14ac:dyDescent="0.25">
      <c r="A99" s="18">
        <v>43594</v>
      </c>
      <c r="B99" s="22">
        <v>44315</v>
      </c>
      <c r="C99" s="11">
        <v>1097</v>
      </c>
      <c r="D99" s="25" t="s">
        <v>108</v>
      </c>
      <c r="E99" s="13">
        <f>[2]!Table1[[#This Row],[Qty Entrada]]-[2]!Table1[[#This Row],[Qty Salida]]</f>
        <v>4</v>
      </c>
      <c r="F99" s="14" t="s">
        <v>30</v>
      </c>
      <c r="G99" s="14">
        <f>SUMIF([2]!Table3[Código Institucional],[2]Existencia!C99:C380,[2]!Table3[Cantidad])</f>
        <v>11</v>
      </c>
      <c r="H99" s="14">
        <f>SUMIF([2]!Table2[Código Institucional],[2]Existencia!C99:C380,[2]!Table2[Cantidad])</f>
        <v>7</v>
      </c>
      <c r="I99" s="15">
        <v>42</v>
      </c>
      <c r="J99" s="16">
        <f t="shared" si="2"/>
        <v>30.24</v>
      </c>
      <c r="K99" s="17">
        <f t="shared" si="3"/>
        <v>198.24</v>
      </c>
    </row>
    <row r="100" spans="1:11" x14ac:dyDescent="0.25">
      <c r="A100" s="18"/>
      <c r="B100" s="22"/>
      <c r="C100" s="20">
        <v>2065</v>
      </c>
      <c r="D100" s="21" t="s">
        <v>109</v>
      </c>
      <c r="E100" s="13">
        <f>[2]!Table1[[#This Row],[Qty Entrada]]-[2]!Table1[[#This Row],[Qty Salida]]</f>
        <v>15</v>
      </c>
      <c r="F100" s="14" t="s">
        <v>30</v>
      </c>
      <c r="G100" s="14">
        <f>SUMIF([2]!Table3[Código Institucional],[2]Existencia!C100:C341,[2]!Table3[Cantidad])</f>
        <v>15</v>
      </c>
      <c r="H100" s="14">
        <f>SUMIF([2]!Table2[Código Institucional],[2]Existencia!C100:C341,[2]!Table2[Cantidad])</f>
        <v>0</v>
      </c>
      <c r="I100" s="15">
        <v>45</v>
      </c>
      <c r="J100" s="16">
        <f>I100*18%*E100</f>
        <v>121.5</v>
      </c>
      <c r="K100" s="17">
        <f>E100*I100+J100</f>
        <v>796.5</v>
      </c>
    </row>
    <row r="101" spans="1:11" x14ac:dyDescent="0.25">
      <c r="A101" s="18"/>
      <c r="B101" s="22"/>
      <c r="C101" s="20">
        <v>2129</v>
      </c>
      <c r="D101" s="21" t="s">
        <v>110</v>
      </c>
      <c r="E101" s="13">
        <f>[2]!Table1[[#This Row],[Qty Entrada]]-[2]!Table1[[#This Row],[Qty Salida]]</f>
        <v>20</v>
      </c>
      <c r="F101" s="14" t="s">
        <v>30</v>
      </c>
      <c r="G101" s="14">
        <f>SUMIF([2]!Table3[Código Institucional],[2]Existencia!C101:C326,[2]!Table3[Cantidad])</f>
        <v>20</v>
      </c>
      <c r="H101" s="14">
        <f>SUMIF([2]!Table2[Código Institucional],[2]Existencia!C101:C326,[2]!Table2[Cantidad])</f>
        <v>0</v>
      </c>
      <c r="I101" s="15">
        <v>62.24</v>
      </c>
      <c r="J101" s="16">
        <f>I101*18%*E101</f>
        <v>224.06400000000002</v>
      </c>
      <c r="K101" s="17">
        <f>E101*I101+J101</f>
        <v>1468.864</v>
      </c>
    </row>
    <row r="102" spans="1:11" x14ac:dyDescent="0.25">
      <c r="A102" s="9">
        <v>43594</v>
      </c>
      <c r="B102" s="10">
        <v>44687</v>
      </c>
      <c r="C102" s="20">
        <v>1099</v>
      </c>
      <c r="D102" s="21" t="s">
        <v>111</v>
      </c>
      <c r="E102" s="13">
        <f>[2]!Table1[[#This Row],[Qty Entrada]]-[2]!Table1[[#This Row],[Qty Salida]]</f>
        <v>10</v>
      </c>
      <c r="F102" s="14" t="s">
        <v>30</v>
      </c>
      <c r="G102" s="14">
        <f>SUMIF([2]!Table3[Código Institucional],[2]Existencia!C102:C355,[2]!Table3[Cantidad])</f>
        <v>10</v>
      </c>
      <c r="H102" s="14">
        <f>SUMIF([2]!Table2[Código Institucional],[2]Existencia!C102:C355,[2]!Table2[Cantidad])</f>
        <v>0</v>
      </c>
      <c r="I102" s="15">
        <v>16</v>
      </c>
      <c r="J102" s="16">
        <f>I102*18%*E102</f>
        <v>28.799999999999997</v>
      </c>
      <c r="K102" s="17">
        <f>E102*I102+J102</f>
        <v>188.8</v>
      </c>
    </row>
    <row r="103" spans="1:11" x14ac:dyDescent="0.25">
      <c r="A103" s="18">
        <v>43594</v>
      </c>
      <c r="B103" s="22">
        <v>44315</v>
      </c>
      <c r="C103" s="11">
        <v>1098</v>
      </c>
      <c r="D103" s="25" t="s">
        <v>112</v>
      </c>
      <c r="E103" s="13">
        <f>[2]!Table1[[#This Row],[Qty Entrada]]-[2]!Table1[[#This Row],[Qty Salida]]</f>
        <v>5</v>
      </c>
      <c r="F103" s="14" t="s">
        <v>30</v>
      </c>
      <c r="G103" s="14">
        <f>SUMIF([2]!Table3[Código Institucional],[2]Existencia!C103:C382,[2]!Table3[Cantidad])</f>
        <v>9</v>
      </c>
      <c r="H103" s="14">
        <f>SUMIF([2]!Table2[Código Institucional],[2]Existencia!C103:C382,[2]!Table2[Cantidad])</f>
        <v>4</v>
      </c>
      <c r="I103" s="15">
        <v>20</v>
      </c>
      <c r="J103" s="16">
        <f t="shared" si="2"/>
        <v>18</v>
      </c>
      <c r="K103" s="17">
        <f t="shared" si="3"/>
        <v>118</v>
      </c>
    </row>
    <row r="104" spans="1:11" x14ac:dyDescent="0.25">
      <c r="A104" s="9">
        <v>43594</v>
      </c>
      <c r="B104" s="26">
        <v>44315</v>
      </c>
      <c r="C104" s="11">
        <v>1100</v>
      </c>
      <c r="D104" s="12" t="s">
        <v>113</v>
      </c>
      <c r="E104" s="13">
        <f>[2]!Table1[[#This Row],[Qty Entrada]]-[2]!Table1[[#This Row],[Qty Salida]]</f>
        <v>39</v>
      </c>
      <c r="F104" s="14" t="s">
        <v>24</v>
      </c>
      <c r="G104" s="14">
        <f>SUMIF([2]!Table3[Código Institucional],[2]Existencia!C104:C383,[2]!Table3[Cantidad])</f>
        <v>47</v>
      </c>
      <c r="H104" s="14">
        <f>SUMIF([2]!Table2[Código Institucional],[2]Existencia!C104:C383,[2]!Table2[Cantidad])</f>
        <v>8</v>
      </c>
      <c r="I104" s="15">
        <v>118</v>
      </c>
      <c r="J104" s="16">
        <f t="shared" si="2"/>
        <v>828.3599999999999</v>
      </c>
      <c r="K104" s="17">
        <f t="shared" si="3"/>
        <v>5430.36</v>
      </c>
    </row>
    <row r="105" spans="1:11" x14ac:dyDescent="0.25">
      <c r="A105" s="18">
        <v>43594</v>
      </c>
      <c r="B105" s="19">
        <v>44687</v>
      </c>
      <c r="C105" s="11">
        <v>1101</v>
      </c>
      <c r="D105" s="12" t="s">
        <v>114</v>
      </c>
      <c r="E105" s="13">
        <f>[2]!Table1[[#This Row],[Qty Entrada]]-[2]!Table1[[#This Row],[Qty Salida]]</f>
        <v>33</v>
      </c>
      <c r="F105" s="14" t="s">
        <v>24</v>
      </c>
      <c r="G105" s="14">
        <f>SUMIF([2]!Table3[Código Institucional],[2]Existencia!C105:C384,[2]!Table3[Cantidad])</f>
        <v>50</v>
      </c>
      <c r="H105" s="14">
        <f>SUMIF([2]!Table2[Código Institucional],[2]Existencia!C105:C384,[2]!Table2[Cantidad])</f>
        <v>17</v>
      </c>
      <c r="I105" s="15">
        <v>118</v>
      </c>
      <c r="J105" s="16">
        <f t="shared" si="2"/>
        <v>700.92</v>
      </c>
      <c r="K105" s="17">
        <f t="shared" si="3"/>
        <v>4594.92</v>
      </c>
    </row>
    <row r="106" spans="1:11" x14ac:dyDescent="0.25">
      <c r="A106" s="9">
        <v>43594</v>
      </c>
      <c r="B106" s="10">
        <v>44687</v>
      </c>
      <c r="C106" s="11">
        <v>1103</v>
      </c>
      <c r="D106" s="25" t="s">
        <v>115</v>
      </c>
      <c r="E106" s="13">
        <f>[2]!Table1[[#This Row],[Qty Entrada]]-[2]!Table1[[#This Row],[Qty Salida]]</f>
        <v>2</v>
      </c>
      <c r="F106" s="14" t="s">
        <v>116</v>
      </c>
      <c r="G106" s="14">
        <f>SUMIF([2]!Table3[Código Institucional],[2]Existencia!C106:C386,[2]!Table3[Cantidad])</f>
        <v>2</v>
      </c>
      <c r="H106" s="14">
        <f>SUMIF([2]!Table2[Código Institucional],[2]Existencia!C106:C386,[2]!Table2[Cantidad])</f>
        <v>0</v>
      </c>
      <c r="I106" s="15">
        <v>218</v>
      </c>
      <c r="J106" s="16">
        <f t="shared" si="2"/>
        <v>78.48</v>
      </c>
      <c r="K106" s="17">
        <f t="shared" si="3"/>
        <v>514.48</v>
      </c>
    </row>
    <row r="107" spans="1:11" x14ac:dyDescent="0.25">
      <c r="A107" s="18">
        <v>43594</v>
      </c>
      <c r="B107" s="19">
        <v>43717</v>
      </c>
      <c r="C107" s="11">
        <v>1106</v>
      </c>
      <c r="D107" s="12" t="s">
        <v>117</v>
      </c>
      <c r="E107" s="13">
        <f>[2]!Table1[[#This Row],[Qty Entrada]]-[2]!Table1[[#This Row],[Qty Salida]]</f>
        <v>8</v>
      </c>
      <c r="F107" s="14" t="s">
        <v>116</v>
      </c>
      <c r="G107" s="14">
        <f>SUMIF([2]!Table3[Código Institucional],[2]Existencia!C107:C389,[2]!Table3[Cantidad])</f>
        <v>9</v>
      </c>
      <c r="H107" s="14">
        <f>SUMIF([2]!Table2[Código Institucional],[2]Existencia!C107:C389,[2]!Table2[Cantidad])</f>
        <v>1</v>
      </c>
      <c r="I107" s="15">
        <v>220</v>
      </c>
      <c r="J107" s="16">
        <f t="shared" si="2"/>
        <v>316.8</v>
      </c>
      <c r="K107" s="17">
        <f t="shared" si="3"/>
        <v>2076.8000000000002</v>
      </c>
    </row>
    <row r="108" spans="1:11" x14ac:dyDescent="0.25">
      <c r="A108" s="9">
        <v>43594</v>
      </c>
      <c r="B108" s="10">
        <v>44687</v>
      </c>
      <c r="C108" s="11">
        <v>1107</v>
      </c>
      <c r="D108" s="12" t="s">
        <v>118</v>
      </c>
      <c r="E108" s="13">
        <f>[2]!Table1[[#This Row],[Qty Entrada]]-[2]!Table1[[#This Row],[Qty Salida]]</f>
        <v>22</v>
      </c>
      <c r="F108" s="14" t="s">
        <v>24</v>
      </c>
      <c r="G108" s="14">
        <f>SUMIF([2]!Table3[Código Institucional],[2]Existencia!C108:C390,[2]!Table3[Cantidad])</f>
        <v>23</v>
      </c>
      <c r="H108" s="14">
        <f>SUMIF([2]!Table2[Código Institucional],[2]Existencia!C108:C390,[2]!Table2[Cantidad])</f>
        <v>1</v>
      </c>
      <c r="I108" s="15">
        <v>65</v>
      </c>
      <c r="J108" s="16">
        <f t="shared" si="2"/>
        <v>257.39999999999998</v>
      </c>
      <c r="K108" s="17">
        <f t="shared" si="3"/>
        <v>1687.4</v>
      </c>
    </row>
    <row r="109" spans="1:11" x14ac:dyDescent="0.25">
      <c r="A109" s="18">
        <v>43594</v>
      </c>
      <c r="B109" s="19">
        <v>44687</v>
      </c>
      <c r="C109" s="11">
        <v>1108</v>
      </c>
      <c r="D109" s="12" t="s">
        <v>119</v>
      </c>
      <c r="E109" s="13">
        <f>[2]!Table1[[#This Row],[Qty Entrada]]-[2]!Table1[[#This Row],[Qty Salida]]</f>
        <v>14</v>
      </c>
      <c r="F109" s="14" t="s">
        <v>24</v>
      </c>
      <c r="G109" s="14">
        <f>SUMIF([2]!Table3[Código Institucional],[2]Existencia!C109:C391,[2]!Table3[Cantidad])</f>
        <v>18</v>
      </c>
      <c r="H109" s="14">
        <f>SUMIF([2]!Table2[Código Institucional],[2]Existencia!C109:C391,[2]!Table2[Cantidad])</f>
        <v>4</v>
      </c>
      <c r="I109" s="15">
        <v>45</v>
      </c>
      <c r="J109" s="16">
        <f t="shared" si="2"/>
        <v>113.39999999999999</v>
      </c>
      <c r="K109" s="17">
        <f t="shared" si="3"/>
        <v>743.4</v>
      </c>
    </row>
    <row r="110" spans="1:11" x14ac:dyDescent="0.25">
      <c r="A110" s="9">
        <v>43594</v>
      </c>
      <c r="B110" s="26">
        <v>44315</v>
      </c>
      <c r="C110" s="11">
        <v>1109</v>
      </c>
      <c r="D110" s="12" t="s">
        <v>120</v>
      </c>
      <c r="E110" s="13">
        <f>[2]!Table1[[#This Row],[Qty Entrada]]-[2]!Table1[[#This Row],[Qty Salida]]</f>
        <v>17</v>
      </c>
      <c r="F110" s="14" t="s">
        <v>24</v>
      </c>
      <c r="G110" s="14">
        <f>SUMIF([2]!Table3[Código Institucional],[2]Existencia!C110:C392,[2]!Table3[Cantidad])</f>
        <v>19</v>
      </c>
      <c r="H110" s="14">
        <f>SUMIF([2]!Table2[Código Institucional],[2]Existencia!C110:C392,[2]!Table2[Cantidad])</f>
        <v>2</v>
      </c>
      <c r="I110" s="15">
        <v>31</v>
      </c>
      <c r="J110" s="16">
        <f t="shared" si="2"/>
        <v>94.86</v>
      </c>
      <c r="K110" s="17">
        <f t="shared" si="3"/>
        <v>621.86</v>
      </c>
    </row>
    <row r="111" spans="1:11" x14ac:dyDescent="0.25">
      <c r="A111" s="18">
        <v>43594</v>
      </c>
      <c r="B111" s="19">
        <v>43717</v>
      </c>
      <c r="C111" s="11">
        <v>1111</v>
      </c>
      <c r="D111" s="12" t="s">
        <v>121</v>
      </c>
      <c r="E111" s="13">
        <f>[2]!Table1[[#This Row],[Qty Entrada]]-[2]!Table1[[#This Row],[Qty Salida]]</f>
        <v>14</v>
      </c>
      <c r="F111" s="14" t="s">
        <v>24</v>
      </c>
      <c r="G111" s="14">
        <f>SUMIF([2]!Table3[Código Institucional],[2]Existencia!C111:C394,[2]!Table3[Cantidad])</f>
        <v>16</v>
      </c>
      <c r="H111" s="14">
        <f>SUMIF([2]!Table2[Código Institucional],[2]Existencia!C111:C394,[2]!Table2[Cantidad])</f>
        <v>2</v>
      </c>
      <c r="I111" s="15">
        <v>5.25</v>
      </c>
      <c r="J111" s="16">
        <f t="shared" si="2"/>
        <v>13.229999999999999</v>
      </c>
      <c r="K111" s="17">
        <f t="shared" si="3"/>
        <v>86.73</v>
      </c>
    </row>
    <row r="112" spans="1:11" x14ac:dyDescent="0.25">
      <c r="A112" s="9">
        <v>43594</v>
      </c>
      <c r="B112" s="26">
        <v>44315</v>
      </c>
      <c r="C112" s="11">
        <v>1112</v>
      </c>
      <c r="D112" s="12" t="s">
        <v>122</v>
      </c>
      <c r="E112" s="13">
        <f>[2]!Table1[[#This Row],[Qty Entrada]]-[2]!Table1[[#This Row],[Qty Salida]]</f>
        <v>2</v>
      </c>
      <c r="F112" s="14" t="s">
        <v>24</v>
      </c>
      <c r="G112" s="14">
        <f>SUMIF([2]!Table3[Código Institucional],[2]Existencia!C112:C395,[2]!Table3[Cantidad])</f>
        <v>9</v>
      </c>
      <c r="H112" s="14">
        <f>SUMIF([2]!Table2[Código Institucional],[2]Existencia!C112:C395,[2]!Table2[Cantidad])</f>
        <v>7</v>
      </c>
      <c r="I112" s="15">
        <v>42</v>
      </c>
      <c r="J112" s="16">
        <f t="shared" si="2"/>
        <v>15.12</v>
      </c>
      <c r="K112" s="17">
        <f t="shared" si="3"/>
        <v>99.12</v>
      </c>
    </row>
    <row r="113" spans="1:11" x14ac:dyDescent="0.25">
      <c r="A113" s="18">
        <v>43594</v>
      </c>
      <c r="B113" s="19">
        <v>44687</v>
      </c>
      <c r="C113" s="11">
        <v>1113</v>
      </c>
      <c r="D113" s="12" t="s">
        <v>123</v>
      </c>
      <c r="E113" s="13">
        <f>[2]!Table1[[#This Row],[Qty Entrada]]-[2]!Table1[[#This Row],[Qty Salida]]</f>
        <v>8</v>
      </c>
      <c r="F113" s="14" t="s">
        <v>24</v>
      </c>
      <c r="G113" s="14">
        <f>SUMIF([2]!Table3[Código Institucional],[2]Existencia!C113:C396,[2]!Table3[Cantidad])</f>
        <v>11</v>
      </c>
      <c r="H113" s="14">
        <f>SUMIF([2]!Table2[Código Institucional],[2]Existencia!C113:C396,[2]!Table2[Cantidad])</f>
        <v>3</v>
      </c>
      <c r="I113" s="15">
        <v>7.95</v>
      </c>
      <c r="J113" s="16">
        <f t="shared" si="2"/>
        <v>11.448</v>
      </c>
      <c r="K113" s="17">
        <f t="shared" si="3"/>
        <v>75.048000000000002</v>
      </c>
    </row>
    <row r="114" spans="1:11" x14ac:dyDescent="0.25">
      <c r="A114" s="9">
        <v>44687</v>
      </c>
      <c r="B114" s="26">
        <v>44315</v>
      </c>
      <c r="C114" s="11">
        <v>1114</v>
      </c>
      <c r="D114" s="12" t="s">
        <v>124</v>
      </c>
      <c r="E114" s="13">
        <f>[2]!Table1[[#This Row],[Qty Entrada]]-[2]!Table1[[#This Row],[Qty Salida]]</f>
        <v>9</v>
      </c>
      <c r="F114" s="14" t="s">
        <v>24</v>
      </c>
      <c r="G114" s="14">
        <f>SUMIF([2]!Table3[Código Institucional],[2]Existencia!C114:C397,[2]!Table3[Cantidad])</f>
        <v>11</v>
      </c>
      <c r="H114" s="14">
        <f>SUMIF([2]!Table2[Código Institucional],[2]Existencia!C114:C397,[2]!Table2[Cantidad])</f>
        <v>2</v>
      </c>
      <c r="I114" s="15">
        <v>6.95</v>
      </c>
      <c r="J114" s="16">
        <f t="shared" si="2"/>
        <v>11.258999999999999</v>
      </c>
      <c r="K114" s="17">
        <f t="shared" si="3"/>
        <v>73.808999999999997</v>
      </c>
    </row>
    <row r="115" spans="1:11" x14ac:dyDescent="0.25">
      <c r="A115" s="18">
        <v>44687</v>
      </c>
      <c r="B115" s="19">
        <v>43717</v>
      </c>
      <c r="C115" s="11">
        <v>1115</v>
      </c>
      <c r="D115" s="12" t="s">
        <v>125</v>
      </c>
      <c r="E115" s="13">
        <f>[2]!Table1[[#This Row],[Qty Entrada]]-[2]!Table1[[#This Row],[Qty Salida]]</f>
        <v>10</v>
      </c>
      <c r="F115" s="14" t="s">
        <v>30</v>
      </c>
      <c r="G115" s="14">
        <f>SUMIF([2]!Table3[Código Institucional],[2]Existencia!C115:C398,[2]!Table3[Cantidad])</f>
        <v>10</v>
      </c>
      <c r="H115" s="14">
        <f>SUMIF([2]!Table2[Código Institucional],[2]Existencia!C115:C398,[2]!Table2[Cantidad])</f>
        <v>0</v>
      </c>
      <c r="I115" s="15">
        <v>35</v>
      </c>
      <c r="J115" s="16">
        <f t="shared" si="2"/>
        <v>63</v>
      </c>
      <c r="K115" s="17">
        <f t="shared" si="3"/>
        <v>413</v>
      </c>
    </row>
    <row r="116" spans="1:11" x14ac:dyDescent="0.25">
      <c r="A116" s="9">
        <v>44687</v>
      </c>
      <c r="B116" s="10">
        <v>43717</v>
      </c>
      <c r="C116" s="11">
        <v>1117</v>
      </c>
      <c r="D116" s="12" t="s">
        <v>126</v>
      </c>
      <c r="E116" s="13">
        <f>[2]!Table1[[#This Row],[Qty Entrada]]-[2]!Table1[[#This Row],[Qty Salida]]</f>
        <v>7</v>
      </c>
      <c r="F116" s="14" t="s">
        <v>24</v>
      </c>
      <c r="G116" s="14">
        <f>SUMIF([2]!Table3[Código Institucional],[2]Existencia!C116:C400,[2]!Table3[Cantidad])</f>
        <v>11</v>
      </c>
      <c r="H116" s="14">
        <f>SUMIF([2]!Table2[Código Institucional],[2]Existencia!C116:C400,[2]!Table2[Cantidad])</f>
        <v>4</v>
      </c>
      <c r="I116" s="15">
        <v>75</v>
      </c>
      <c r="J116" s="16">
        <f>I116*18%*E116</f>
        <v>94.5</v>
      </c>
      <c r="K116" s="17">
        <f t="shared" si="3"/>
        <v>619.5</v>
      </c>
    </row>
    <row r="117" spans="1:11" x14ac:dyDescent="0.25">
      <c r="A117" s="18">
        <v>43594</v>
      </c>
      <c r="B117" s="19">
        <v>44687</v>
      </c>
      <c r="C117" s="11">
        <v>1119</v>
      </c>
      <c r="D117" s="12" t="s">
        <v>127</v>
      </c>
      <c r="E117" s="13">
        <f>[2]!Table1[[#This Row],[Qty Entrada]]-[2]!Table1[[#This Row],[Qty Salida]]</f>
        <v>17</v>
      </c>
      <c r="F117" s="14" t="s">
        <v>24</v>
      </c>
      <c r="G117" s="14">
        <f>SUMIF([2]!Table3[Código Institucional],[2]Existencia!C117:C402,[2]!Table3[Cantidad])</f>
        <v>21</v>
      </c>
      <c r="H117" s="14">
        <f>SUMIF([2]!Table2[Código Institucional],[2]Existencia!C117:C402,[2]!Table2[Cantidad])</f>
        <v>4</v>
      </c>
      <c r="I117" s="15">
        <v>10</v>
      </c>
      <c r="J117" s="16">
        <f t="shared" si="2"/>
        <v>30.599999999999998</v>
      </c>
      <c r="K117" s="17">
        <f t="shared" si="3"/>
        <v>200.6</v>
      </c>
    </row>
    <row r="118" spans="1:11" x14ac:dyDescent="0.25">
      <c r="A118" s="9">
        <v>43594</v>
      </c>
      <c r="B118" s="10">
        <v>44687</v>
      </c>
      <c r="C118" s="11">
        <v>1120</v>
      </c>
      <c r="D118" s="12" t="s">
        <v>128</v>
      </c>
      <c r="E118" s="13">
        <f>[2]!Table1[[#This Row],[Qty Entrada]]-[2]!Table1[[#This Row],[Qty Salida]]</f>
        <v>62</v>
      </c>
      <c r="F118" s="14" t="s">
        <v>24</v>
      </c>
      <c r="G118" s="14">
        <f>SUMIF([2]!Table3[Código Institucional],[2]Existencia!C118:C403,[2]!Table3[Cantidad])</f>
        <v>62</v>
      </c>
      <c r="H118" s="14">
        <f>SUMIF([2]!Table2[Código Institucional],[2]Existencia!C118:C403,[2]!Table2[Cantidad])</f>
        <v>0</v>
      </c>
      <c r="I118" s="15">
        <v>20</v>
      </c>
      <c r="J118" s="16">
        <f t="shared" si="2"/>
        <v>223.2</v>
      </c>
      <c r="K118" s="17">
        <f t="shared" si="3"/>
        <v>1463.2</v>
      </c>
    </row>
    <row r="119" spans="1:11" x14ac:dyDescent="0.25">
      <c r="A119" s="18">
        <v>43594</v>
      </c>
      <c r="B119" s="19">
        <v>44687</v>
      </c>
      <c r="C119" s="30">
        <v>1122</v>
      </c>
      <c r="D119" s="25" t="s">
        <v>129</v>
      </c>
      <c r="E119" s="13">
        <f>[2]!Table1[[#This Row],[Qty Entrada]]-[2]!Table1[[#This Row],[Qty Salida]]</f>
        <v>33</v>
      </c>
      <c r="F119" s="14" t="s">
        <v>24</v>
      </c>
      <c r="G119" s="14">
        <f>SUMIF([2]!Table3[Código Institucional],[2]Existencia!C119:C405,[2]!Table3[Cantidad])</f>
        <v>36</v>
      </c>
      <c r="H119" s="14">
        <f>SUMIF([2]!Table2[Código Institucional],[2]Existencia!C119:C405,[2]!Table2[Cantidad])</f>
        <v>3</v>
      </c>
      <c r="I119" s="15">
        <v>145</v>
      </c>
      <c r="J119" s="16">
        <f t="shared" si="2"/>
        <v>861.3</v>
      </c>
      <c r="K119" s="17">
        <f t="shared" si="3"/>
        <v>5646.3</v>
      </c>
    </row>
    <row r="120" spans="1:11" x14ac:dyDescent="0.25">
      <c r="A120" s="9">
        <v>43594</v>
      </c>
      <c r="B120" s="10">
        <v>44687</v>
      </c>
      <c r="C120" s="30">
        <v>1123</v>
      </c>
      <c r="D120" s="25" t="s">
        <v>130</v>
      </c>
      <c r="E120" s="13">
        <f>[2]!Table1[[#This Row],[Qty Entrada]]-[2]!Table1[[#This Row],[Qty Salida]]</f>
        <v>60</v>
      </c>
      <c r="F120" s="14" t="s">
        <v>24</v>
      </c>
      <c r="G120" s="14">
        <f>SUMIF([2]!Table3[Código Institucional],[2]Existencia!C120:C406,[2]!Table3[Cantidad])</f>
        <v>62</v>
      </c>
      <c r="H120" s="14">
        <f>SUMIF([2]!Table2[Código Institucional],[2]Existencia!C120:C406,[2]!Table2[Cantidad])</f>
        <v>2</v>
      </c>
      <c r="I120" s="15">
        <v>135</v>
      </c>
      <c r="J120" s="16">
        <f t="shared" si="2"/>
        <v>1458</v>
      </c>
      <c r="K120" s="17">
        <f t="shared" si="3"/>
        <v>9558</v>
      </c>
    </row>
    <row r="121" spans="1:11" x14ac:dyDescent="0.25">
      <c r="A121" s="18">
        <v>43594</v>
      </c>
      <c r="B121" s="22">
        <v>44315</v>
      </c>
      <c r="C121" s="30">
        <v>1124</v>
      </c>
      <c r="D121" s="25" t="s">
        <v>131</v>
      </c>
      <c r="E121" s="13">
        <f>[2]!Table1[[#This Row],[Qty Entrada]]-[2]!Table1[[#This Row],[Qty Salida]]</f>
        <v>24</v>
      </c>
      <c r="F121" s="14" t="s">
        <v>24</v>
      </c>
      <c r="G121" s="14">
        <f>SUMIF([2]!Table3[Código Institucional],[2]Existencia!C121:C407,[2]!Table3[Cantidad])</f>
        <v>30</v>
      </c>
      <c r="H121" s="14">
        <f>SUMIF([2]!Table2[Código Institucional],[2]Existencia!C121:C407,[2]!Table2[Cantidad])</f>
        <v>6</v>
      </c>
      <c r="I121" s="15">
        <v>195</v>
      </c>
      <c r="J121" s="16">
        <f t="shared" si="2"/>
        <v>842.40000000000009</v>
      </c>
      <c r="K121" s="17">
        <f t="shared" si="3"/>
        <v>5522.4</v>
      </c>
    </row>
    <row r="122" spans="1:11" x14ac:dyDescent="0.25">
      <c r="A122" s="9">
        <v>43594</v>
      </c>
      <c r="B122" s="10">
        <v>43717</v>
      </c>
      <c r="C122" s="30">
        <v>1125</v>
      </c>
      <c r="D122" s="25" t="s">
        <v>132</v>
      </c>
      <c r="E122" s="13">
        <f>[2]!Table1[[#This Row],[Qty Entrada]]-[2]!Table1[[#This Row],[Qty Salida]]</f>
        <v>16</v>
      </c>
      <c r="F122" s="14" t="s">
        <v>24</v>
      </c>
      <c r="G122" s="14">
        <f>SUMIF([2]!Table3[Código Institucional],[2]Existencia!C122:C408,[2]!Table3[Cantidad])</f>
        <v>32</v>
      </c>
      <c r="H122" s="14">
        <f>SUMIF([2]!Table2[Código Institucional],[2]Existencia!C122:C408,[2]!Table2[Cantidad])</f>
        <v>16</v>
      </c>
      <c r="I122" s="15">
        <v>288.14</v>
      </c>
      <c r="J122" s="16">
        <f t="shared" si="2"/>
        <v>829.84319999999991</v>
      </c>
      <c r="K122" s="17">
        <f t="shared" si="3"/>
        <v>5440.0832</v>
      </c>
    </row>
    <row r="123" spans="1:11" x14ac:dyDescent="0.25">
      <c r="A123" s="18"/>
      <c r="B123" s="19"/>
      <c r="C123" s="20">
        <v>2183</v>
      </c>
      <c r="D123" s="25" t="s">
        <v>280</v>
      </c>
      <c r="E123" s="13">
        <f>[2]!Table1[[#This Row],[Qty Entrada]]-[2]!Table1[[#This Row],[Qty Salida]]</f>
        <v>25</v>
      </c>
      <c r="F123" s="14" t="s">
        <v>24</v>
      </c>
      <c r="G123" s="14">
        <f>SUMIF([2]!Table3[Código Institucional],[2]Existencia!C123:C345,[2]!Table3[Cantidad])</f>
        <v>25</v>
      </c>
      <c r="H123" s="14">
        <f>SUMIF([2]!Table2[Código Institucional],[2]Existencia!C123:C345,[2]!Table2[Cantidad])</f>
        <v>0</v>
      </c>
      <c r="I123" s="15">
        <v>295</v>
      </c>
      <c r="J123" s="16">
        <f>I123*18%*E123</f>
        <v>1327.5</v>
      </c>
      <c r="K123" s="17">
        <f>E123*I123+J123</f>
        <v>8702.5</v>
      </c>
    </row>
    <row r="124" spans="1:11" x14ac:dyDescent="0.25">
      <c r="A124" s="18">
        <v>43594</v>
      </c>
      <c r="B124" s="19">
        <v>43717</v>
      </c>
      <c r="C124" s="30">
        <v>1126</v>
      </c>
      <c r="D124" s="25" t="s">
        <v>133</v>
      </c>
      <c r="E124" s="13">
        <f>[2]!Table1[[#This Row],[Qty Entrada]]-[2]!Table1[[#This Row],[Qty Salida]]</f>
        <v>43</v>
      </c>
      <c r="F124" s="14" t="s">
        <v>24</v>
      </c>
      <c r="G124" s="14">
        <f>SUMIF([2]!Table3[Código Institucional],[2]Existencia!C124:C409,[2]!Table3[Cantidad])</f>
        <v>53</v>
      </c>
      <c r="H124" s="14">
        <f>SUMIF([2]!Table2[Código Institucional],[2]Existencia!C124:C409,[2]!Table2[Cantidad])</f>
        <v>10</v>
      </c>
      <c r="I124" s="15">
        <v>330.1</v>
      </c>
      <c r="J124" s="16">
        <f t="shared" si="2"/>
        <v>2554.9740000000002</v>
      </c>
      <c r="K124" s="17">
        <f t="shared" si="3"/>
        <v>16749.274000000001</v>
      </c>
    </row>
    <row r="125" spans="1:11" x14ac:dyDescent="0.25">
      <c r="A125" s="9">
        <v>43594</v>
      </c>
      <c r="B125" s="10">
        <v>43717</v>
      </c>
      <c r="C125" s="30">
        <v>1127</v>
      </c>
      <c r="D125" s="25" t="s">
        <v>134</v>
      </c>
      <c r="E125" s="13">
        <f>[2]!Table1[[#This Row],[Qty Entrada]]-[2]!Table1[[#This Row],[Qty Salida]]</f>
        <v>16</v>
      </c>
      <c r="F125" s="14" t="s">
        <v>24</v>
      </c>
      <c r="G125" s="14">
        <f>SUMIF([2]!Table3[Código Institucional],[2]Existencia!C125:C410,[2]!Table3[Cantidad])</f>
        <v>26</v>
      </c>
      <c r="H125" s="14">
        <f>SUMIF([2]!Table2[Código Institucional],[2]Existencia!C125:C410,[2]!Table2[Cantidad])</f>
        <v>10</v>
      </c>
      <c r="I125" s="15">
        <v>778</v>
      </c>
      <c r="J125" s="16">
        <f t="shared" si="2"/>
        <v>2240.64</v>
      </c>
      <c r="K125" s="17">
        <f t="shared" si="3"/>
        <v>14688.64</v>
      </c>
    </row>
    <row r="126" spans="1:11" x14ac:dyDescent="0.25">
      <c r="A126" s="18">
        <v>43594</v>
      </c>
      <c r="B126" s="19">
        <v>44687</v>
      </c>
      <c r="C126" s="11">
        <v>1128</v>
      </c>
      <c r="D126" s="12" t="s">
        <v>135</v>
      </c>
      <c r="E126" s="13">
        <f>[2]!Table1[[#This Row],[Qty Entrada]]-[2]!Table1[[#This Row],[Qty Salida]]</f>
        <v>40</v>
      </c>
      <c r="F126" s="14" t="s">
        <v>24</v>
      </c>
      <c r="G126" s="14">
        <f>SUMIF([2]!Table3[Código Institucional],[2]Existencia!C126:C411,[2]!Table3[Cantidad])</f>
        <v>40</v>
      </c>
      <c r="H126" s="14">
        <f>SUMIF([2]!Table2[Código Institucional],[2]Existencia!C126:C411,[2]!Table2[Cantidad])</f>
        <v>0</v>
      </c>
      <c r="I126" s="15">
        <v>7.48</v>
      </c>
      <c r="J126" s="16">
        <f t="shared" si="2"/>
        <v>53.856000000000002</v>
      </c>
      <c r="K126" s="17">
        <f t="shared" si="3"/>
        <v>353.05600000000004</v>
      </c>
    </row>
    <row r="127" spans="1:11" x14ac:dyDescent="0.25">
      <c r="A127" s="18"/>
      <c r="B127" s="19"/>
      <c r="C127" s="20">
        <v>1130</v>
      </c>
      <c r="D127" s="12" t="s">
        <v>136</v>
      </c>
      <c r="E127" s="13">
        <f>[2]!Table1[[#This Row],[Qty Entrada]]-[2]!Table1[[#This Row],[Qty Salida]]</f>
        <v>36</v>
      </c>
      <c r="F127" s="14" t="s">
        <v>24</v>
      </c>
      <c r="G127" s="14">
        <f>SUMIF([2]!Table3[Código Institucional],[2]Existencia!C127:C351,[2]!Table3[Cantidad])</f>
        <v>36</v>
      </c>
      <c r="H127" s="14">
        <f>SUMIF([2]!Table2[Código Institucional],[2]Existencia!C127:C351,[2]!Table2[Cantidad])</f>
        <v>0</v>
      </c>
      <c r="I127" s="15">
        <v>10.15</v>
      </c>
      <c r="J127" s="16">
        <f t="shared" si="2"/>
        <v>65.771999999999991</v>
      </c>
      <c r="K127" s="17">
        <f>E127*I127+J127</f>
        <v>431.17200000000003</v>
      </c>
    </row>
    <row r="128" spans="1:11" x14ac:dyDescent="0.25">
      <c r="A128" s="18"/>
      <c r="B128" s="19"/>
      <c r="C128" s="31">
        <v>1129</v>
      </c>
      <c r="D128" s="32" t="s">
        <v>137</v>
      </c>
      <c r="E128" s="13">
        <f>[2]!Table1[[#This Row],[Qty Entrada]]-[2]!Table1[[#This Row],[Qty Salida]]</f>
        <v>152</v>
      </c>
      <c r="F128" s="14" t="s">
        <v>24</v>
      </c>
      <c r="G128" s="14">
        <f>SUMIF([2]!Table3[Código Institucional],[2]Existencia!C128:C352,[2]!Table3[Cantidad])</f>
        <v>152</v>
      </c>
      <c r="H128" s="14">
        <f>SUMIF([2]!Table2[Código Institucional],[2]Existencia!C128:C352,[2]!Table2[Cantidad])</f>
        <v>0</v>
      </c>
      <c r="I128" s="15">
        <v>9.65</v>
      </c>
      <c r="J128" s="16">
        <f t="shared" si="2"/>
        <v>264.024</v>
      </c>
      <c r="K128" s="17">
        <f>E128*I128+J128</f>
        <v>1730.8240000000001</v>
      </c>
    </row>
    <row r="129" spans="1:11" x14ac:dyDescent="0.25">
      <c r="A129" s="9">
        <v>43594</v>
      </c>
      <c r="B129" s="10">
        <v>43717</v>
      </c>
      <c r="C129" s="11">
        <v>1131</v>
      </c>
      <c r="D129" s="12" t="s">
        <v>138</v>
      </c>
      <c r="E129" s="13">
        <f>[2]!Table1[[#This Row],[Qty Entrada]]-[2]!Table1[[#This Row],[Qty Salida]]</f>
        <v>59</v>
      </c>
      <c r="F129" s="14" t="s">
        <v>24</v>
      </c>
      <c r="G129" s="14">
        <f>SUMIF([2]!Table3[Código Institucional],[2]Existencia!C129:C414,[2]!Table3[Cantidad])</f>
        <v>59</v>
      </c>
      <c r="H129" s="14">
        <f>SUMIF([2]!Table2[Código Institucional],[2]Existencia!C129:C414,[2]!Table2[Cantidad])</f>
        <v>0</v>
      </c>
      <c r="I129" s="15">
        <v>12.5</v>
      </c>
      <c r="J129" s="16">
        <f t="shared" si="2"/>
        <v>132.75</v>
      </c>
      <c r="K129" s="17">
        <f t="shared" ref="K129:K199" si="4">E129*I129+J129</f>
        <v>870.25</v>
      </c>
    </row>
    <row r="130" spans="1:11" x14ac:dyDescent="0.25">
      <c r="A130" s="18">
        <v>43594</v>
      </c>
      <c r="B130" s="19">
        <v>43717</v>
      </c>
      <c r="C130" s="11">
        <v>1132</v>
      </c>
      <c r="D130" s="12" t="s">
        <v>139</v>
      </c>
      <c r="E130" s="13">
        <f>[2]!Table1[[#This Row],[Qty Entrada]]-[2]!Table1[[#This Row],[Qty Salida]]</f>
        <v>132</v>
      </c>
      <c r="F130" s="14" t="s">
        <v>24</v>
      </c>
      <c r="G130" s="14">
        <f>SUMIF([2]!Table3[Código Institucional],[2]Existencia!C130:C415,[2]!Table3[Cantidad])</f>
        <v>132</v>
      </c>
      <c r="H130" s="14">
        <f>SUMIF([2]!Table2[Código Institucional],[2]Existencia!C130:C415,[2]!Table2[Cantidad])</f>
        <v>0</v>
      </c>
      <c r="I130" s="15">
        <v>15</v>
      </c>
      <c r="J130" s="16">
        <f t="shared" si="2"/>
        <v>356.4</v>
      </c>
      <c r="K130" s="17">
        <f t="shared" si="4"/>
        <v>2336.4</v>
      </c>
    </row>
    <row r="131" spans="1:11" x14ac:dyDescent="0.25">
      <c r="A131" s="9">
        <v>43594</v>
      </c>
      <c r="B131" s="10">
        <v>44687</v>
      </c>
      <c r="C131" s="11">
        <v>1133</v>
      </c>
      <c r="D131" s="12" t="s">
        <v>140</v>
      </c>
      <c r="E131" s="13">
        <f>[2]!Table1[[#This Row],[Qty Entrada]]-[2]!Table1[[#This Row],[Qty Salida]]</f>
        <v>1</v>
      </c>
      <c r="F131" s="2" t="s">
        <v>24</v>
      </c>
      <c r="G131" s="14">
        <f>SUMIF([2]!Table3[Código Institucional],[2]Existencia!C131:C416,[2]!Table3[Cantidad])</f>
        <v>5</v>
      </c>
      <c r="H131" s="14">
        <f>SUMIF([2]!Table2[Código Institucional],[2]Existencia!C131:C416,[2]!Table2[Cantidad])</f>
        <v>4</v>
      </c>
      <c r="I131" s="4">
        <v>98</v>
      </c>
      <c r="J131" s="16">
        <f t="shared" ref="J131:J198" si="5">I131*18%*E131</f>
        <v>17.64</v>
      </c>
      <c r="K131" s="17">
        <f t="shared" si="4"/>
        <v>115.64</v>
      </c>
    </row>
    <row r="132" spans="1:11" x14ac:dyDescent="0.25">
      <c r="A132" s="18"/>
      <c r="B132" s="19"/>
      <c r="C132" s="20">
        <v>2071</v>
      </c>
      <c r="D132" s="21" t="s">
        <v>141</v>
      </c>
      <c r="E132" s="13">
        <f>[2]!Table1[[#This Row],[Qty Entrada]]-[2]!Table1[[#This Row],[Qty Salida]]</f>
        <v>6</v>
      </c>
      <c r="F132" s="2" t="s">
        <v>24</v>
      </c>
      <c r="G132" s="14">
        <f>SUMIF([2]!Table3[Código Institucional],[2]Existencia!C132:C375,[2]!Table3[Cantidad])</f>
        <v>6</v>
      </c>
      <c r="H132" s="14">
        <f>SUMIF([2]!Table2[Código Institucional],[2]Existencia!C132:C375,[2]!Table2[Cantidad])</f>
        <v>0</v>
      </c>
      <c r="I132" s="4">
        <v>205</v>
      </c>
      <c r="J132" s="16">
        <f>I132*18%*E132</f>
        <v>221.39999999999998</v>
      </c>
      <c r="K132" s="17">
        <f>E132*I132+J132</f>
        <v>1451.4</v>
      </c>
    </row>
    <row r="133" spans="1:11" x14ac:dyDescent="0.25">
      <c r="A133" s="18">
        <v>43594</v>
      </c>
      <c r="B133" s="19">
        <v>43717</v>
      </c>
      <c r="C133" s="11">
        <v>1140</v>
      </c>
      <c r="D133" s="12" t="s">
        <v>142</v>
      </c>
      <c r="E133" s="13">
        <f>[2]!Table1[[#This Row],[Qty Entrada]]-[2]!Table1[[#This Row],[Qty Salida]]</f>
        <v>2</v>
      </c>
      <c r="F133" s="2" t="s">
        <v>24</v>
      </c>
      <c r="G133" s="14">
        <f>SUMIF([2]!Table3[Código Institucional],[2]Existencia!C133:C423,[2]!Table3[Cantidad])</f>
        <v>3</v>
      </c>
      <c r="H133" s="14">
        <f>SUMIF([2]!Table2[Código Institucional],[2]Existencia!C133:C423,[2]!Table2[Cantidad])</f>
        <v>1</v>
      </c>
      <c r="I133" s="4">
        <v>338</v>
      </c>
      <c r="J133" s="16">
        <f t="shared" si="5"/>
        <v>121.67999999999999</v>
      </c>
      <c r="K133" s="17">
        <f t="shared" si="4"/>
        <v>797.68</v>
      </c>
    </row>
    <row r="134" spans="1:11" x14ac:dyDescent="0.25">
      <c r="A134" s="9">
        <v>43594</v>
      </c>
      <c r="B134" s="10">
        <v>43717</v>
      </c>
      <c r="C134" s="11">
        <v>1141</v>
      </c>
      <c r="D134" s="12" t="s">
        <v>143</v>
      </c>
      <c r="E134" s="13">
        <f>[2]!Table1[[#This Row],[Qty Entrada]]-[2]!Table1[[#This Row],[Qty Salida]]</f>
        <v>18</v>
      </c>
      <c r="F134" s="2" t="s">
        <v>24</v>
      </c>
      <c r="G134" s="14">
        <f>SUMIF([2]!Table3[Código Institucional],[2]Existencia!C134:C424,[2]!Table3[Cantidad])</f>
        <v>23</v>
      </c>
      <c r="H134" s="14">
        <f>SUMIF([2]!Table2[Código Institucional],[2]Existencia!C134:C424,[2]!Table2[Cantidad])</f>
        <v>5</v>
      </c>
      <c r="I134" s="4">
        <v>14.61</v>
      </c>
      <c r="J134" s="16">
        <f t="shared" si="5"/>
        <v>47.336399999999998</v>
      </c>
      <c r="K134" s="17">
        <f t="shared" si="4"/>
        <v>310.31640000000004</v>
      </c>
    </row>
    <row r="135" spans="1:11" x14ac:dyDescent="0.25">
      <c r="A135" s="18"/>
      <c r="B135" s="19"/>
      <c r="C135" s="20">
        <v>2066</v>
      </c>
      <c r="D135" s="21" t="s">
        <v>144</v>
      </c>
      <c r="E135" s="13">
        <f>[2]!Table1[[#This Row],[Qty Entrada]]-[2]!Table1[[#This Row],[Qty Salida]]</f>
        <v>10</v>
      </c>
      <c r="F135" s="2" t="s">
        <v>24</v>
      </c>
      <c r="G135" s="14">
        <f>SUMIF([2]!Table3[Código Institucional],[2]Existencia!C135:C373,[2]!Table3[Cantidad])</f>
        <v>10</v>
      </c>
      <c r="H135" s="14">
        <f>SUMIF([2]!Table2[Código Institucional],[2]Existencia!C135:C373,[2]!Table2[Cantidad])</f>
        <v>0</v>
      </c>
      <c r="I135" s="4">
        <v>22.75</v>
      </c>
      <c r="J135" s="16">
        <f>I135*18%*E135</f>
        <v>40.949999999999996</v>
      </c>
      <c r="K135" s="17">
        <f>E135*I135+J135</f>
        <v>268.45</v>
      </c>
    </row>
    <row r="136" spans="1:11" x14ac:dyDescent="0.25">
      <c r="A136" s="18">
        <v>43594</v>
      </c>
      <c r="B136" s="19">
        <v>43717</v>
      </c>
      <c r="C136" s="11">
        <v>1142</v>
      </c>
      <c r="D136" s="12" t="s">
        <v>145</v>
      </c>
      <c r="E136" s="13">
        <f>[2]!Table1[[#This Row],[Qty Entrada]]-[2]!Table1[[#This Row],[Qty Salida]]</f>
        <v>1</v>
      </c>
      <c r="F136" s="2" t="s">
        <v>24</v>
      </c>
      <c r="G136" s="14">
        <f>SUMIF([2]!Table3[Código Institucional],[2]Existencia!C136:C425,[2]!Table3[Cantidad])</f>
        <v>2</v>
      </c>
      <c r="H136" s="14">
        <f>SUMIF([2]!Table2[Código Institucional],[2]Existencia!C136:C425,[2]!Table2[Cantidad])</f>
        <v>1</v>
      </c>
      <c r="I136" s="4">
        <v>396</v>
      </c>
      <c r="J136" s="16">
        <f t="shared" si="5"/>
        <v>71.28</v>
      </c>
      <c r="K136" s="17">
        <f t="shared" si="4"/>
        <v>467.28</v>
      </c>
    </row>
    <row r="137" spans="1:11" x14ac:dyDescent="0.25">
      <c r="A137" s="9">
        <v>43594</v>
      </c>
      <c r="B137" s="10">
        <v>43717</v>
      </c>
      <c r="C137" s="11">
        <v>1143</v>
      </c>
      <c r="D137" s="12" t="s">
        <v>146</v>
      </c>
      <c r="E137" s="13">
        <f>[2]!Table1[[#This Row],[Qty Entrada]]-[2]!Table1[[#This Row],[Qty Salida]]</f>
        <v>2</v>
      </c>
      <c r="F137" s="2" t="s">
        <v>24</v>
      </c>
      <c r="G137" s="14">
        <f>SUMIF([2]!Table3[Código Institucional],[2]Existencia!C137:C426,[2]!Table3[Cantidad])</f>
        <v>2</v>
      </c>
      <c r="H137" s="14">
        <f>SUMIF([2]!Table2[Código Institucional],[2]Existencia!C137:C426,[2]!Table2[Cantidad])</f>
        <v>0</v>
      </c>
      <c r="I137" s="4">
        <v>985</v>
      </c>
      <c r="J137" s="16">
        <f t="shared" si="5"/>
        <v>354.59999999999997</v>
      </c>
      <c r="K137" s="17">
        <f t="shared" si="4"/>
        <v>2324.6</v>
      </c>
    </row>
    <row r="138" spans="1:11" x14ac:dyDescent="0.25">
      <c r="A138" s="18">
        <v>43594</v>
      </c>
      <c r="B138" s="19">
        <v>43717</v>
      </c>
      <c r="C138" s="11">
        <v>1144</v>
      </c>
      <c r="D138" s="12" t="s">
        <v>147</v>
      </c>
      <c r="E138" s="13">
        <f>[2]!Table1[[#This Row],[Qty Entrada]]-[2]!Table1[[#This Row],[Qty Salida]]</f>
        <v>2</v>
      </c>
      <c r="F138" s="2" t="s">
        <v>24</v>
      </c>
      <c r="G138" s="14">
        <f>SUMIF([2]!Table3[Código Institucional],[2]Existencia!C138:C427,[2]!Table3[Cantidad])</f>
        <v>4</v>
      </c>
      <c r="H138" s="14">
        <f>SUMIF([2]!Table2[Código Institucional],[2]Existencia!C138:C427,[2]!Table2[Cantidad])</f>
        <v>2</v>
      </c>
      <c r="I138" s="4">
        <v>725</v>
      </c>
      <c r="J138" s="16">
        <f t="shared" si="5"/>
        <v>261</v>
      </c>
      <c r="K138" s="17">
        <f t="shared" si="4"/>
        <v>1711</v>
      </c>
    </row>
    <row r="139" spans="1:11" x14ac:dyDescent="0.25">
      <c r="A139" s="18"/>
      <c r="B139" s="19"/>
      <c r="C139" s="20">
        <v>2185</v>
      </c>
      <c r="D139" s="12" t="s">
        <v>281</v>
      </c>
      <c r="E139" s="13">
        <f>[2]!Table1[[#This Row],[Qty Entrada]]-[2]!Table1[[#This Row],[Qty Salida]]</f>
        <v>3</v>
      </c>
      <c r="F139" s="2" t="s">
        <v>24</v>
      </c>
      <c r="G139" s="14">
        <f>SUMIF([2]!Table3[Código Institucional],[2]Existencia!C139:C362,[2]!Table3[Cantidad])</f>
        <v>3</v>
      </c>
      <c r="H139" s="14">
        <f>SUMIF([2]!Table2[Código Institucional],[2]Existencia!C139:C362,[2]!Table2[Cantidad])</f>
        <v>0</v>
      </c>
      <c r="I139" s="4">
        <v>985</v>
      </c>
      <c r="J139" s="16">
        <f>I139*18%*E139</f>
        <v>531.9</v>
      </c>
      <c r="K139" s="17">
        <f>E139*I139+J139</f>
        <v>3486.9</v>
      </c>
    </row>
    <row r="140" spans="1:11" x14ac:dyDescent="0.25">
      <c r="A140" s="33">
        <v>44680</v>
      </c>
      <c r="B140" s="10">
        <v>44687</v>
      </c>
      <c r="C140" s="11">
        <v>1145</v>
      </c>
      <c r="D140" s="12" t="s">
        <v>148</v>
      </c>
      <c r="E140" s="13">
        <f>[2]!Table1[[#This Row],[Qty Entrada]]-[2]!Table1[[#This Row],[Qty Salida]]</f>
        <v>3</v>
      </c>
      <c r="F140" s="2" t="s">
        <v>24</v>
      </c>
      <c r="G140" s="14">
        <f>SUMIF([2]!Table3[Código Institucional],[2]Existencia!C140:C428,[2]!Table3[Cantidad])</f>
        <v>3</v>
      </c>
      <c r="H140" s="14">
        <f>SUMIF([2]!Table2[Código Institucional],[2]Existencia!C140:C428,[2]!Table2[Cantidad])</f>
        <v>0</v>
      </c>
      <c r="I140" s="4">
        <v>63.59</v>
      </c>
      <c r="J140" s="16">
        <f t="shared" si="5"/>
        <v>34.3386</v>
      </c>
      <c r="K140" s="17">
        <f t="shared" si="4"/>
        <v>225.10860000000002</v>
      </c>
    </row>
    <row r="141" spans="1:11" x14ac:dyDescent="0.25">
      <c r="A141" s="18">
        <v>43594</v>
      </c>
      <c r="B141" s="19">
        <v>43717</v>
      </c>
      <c r="C141" s="11">
        <v>1146</v>
      </c>
      <c r="D141" t="s">
        <v>149</v>
      </c>
      <c r="E141" s="13">
        <f>[2]!Table1[[#This Row],[Qty Entrada]]-[2]!Table1[[#This Row],[Qty Salida]]</f>
        <v>4</v>
      </c>
      <c r="F141" s="2" t="s">
        <v>24</v>
      </c>
      <c r="G141" s="14">
        <f>SUMIF([2]!Table3[Código Institucional],[2]Existencia!C141:C429,[2]!Table3[Cantidad])</f>
        <v>4</v>
      </c>
      <c r="H141" s="14">
        <f>SUMIF([2]!Table2[Código Institucional],[2]Existencia!C141:C429,[2]!Table2[Cantidad])</f>
        <v>0</v>
      </c>
      <c r="I141" s="4">
        <v>110</v>
      </c>
      <c r="J141" s="16">
        <f t="shared" si="5"/>
        <v>79.2</v>
      </c>
      <c r="K141" s="17">
        <f t="shared" si="4"/>
        <v>519.20000000000005</v>
      </c>
    </row>
    <row r="142" spans="1:11" x14ac:dyDescent="0.25">
      <c r="A142" s="33">
        <v>44680</v>
      </c>
      <c r="B142" s="10">
        <v>44687</v>
      </c>
      <c r="C142" s="11">
        <v>1147</v>
      </c>
      <c r="D142" t="s">
        <v>150</v>
      </c>
      <c r="E142" s="13">
        <f>[2]!Table1[[#This Row],[Qty Entrada]]-[2]!Table1[[#This Row],[Qty Salida]]</f>
        <v>1</v>
      </c>
      <c r="F142" s="2" t="s">
        <v>24</v>
      </c>
      <c r="G142" s="14">
        <f>SUMIF([2]!Table3[Código Institucional],[2]Existencia!C142:C430,[2]!Table3[Cantidad])</f>
        <v>1</v>
      </c>
      <c r="H142" s="14">
        <f>SUMIF([2]!Table2[Código Institucional],[2]Existencia!C142:C430,[2]!Table2[Cantidad])</f>
        <v>0</v>
      </c>
      <c r="I142" s="4">
        <v>28</v>
      </c>
      <c r="J142" s="16">
        <f t="shared" si="5"/>
        <v>5.04</v>
      </c>
      <c r="K142" s="17">
        <f t="shared" si="4"/>
        <v>33.04</v>
      </c>
    </row>
    <row r="143" spans="1:11" x14ac:dyDescent="0.25">
      <c r="A143" s="18">
        <v>43594</v>
      </c>
      <c r="B143" s="22">
        <v>44315</v>
      </c>
      <c r="C143" s="11">
        <v>1148</v>
      </c>
      <c r="D143" t="s">
        <v>151</v>
      </c>
      <c r="E143" s="13">
        <f>[2]!Table1[[#This Row],[Qty Entrada]]-[2]!Table1[[#This Row],[Qty Salida]]</f>
        <v>4</v>
      </c>
      <c r="F143" s="2" t="s">
        <v>24</v>
      </c>
      <c r="G143" s="14">
        <f>SUMIF([2]!Table3[Código Institucional],[2]Existencia!C143:C431,[2]!Table3[Cantidad])</f>
        <v>4</v>
      </c>
      <c r="H143" s="14">
        <f>SUMIF([2]!Table2[Código Institucional],[2]Existencia!C143:C431,[2]!Table2[Cantidad])</f>
        <v>0</v>
      </c>
      <c r="I143" s="4">
        <v>825</v>
      </c>
      <c r="J143" s="16">
        <v>0</v>
      </c>
      <c r="K143" s="17">
        <f t="shared" si="4"/>
        <v>3300</v>
      </c>
    </row>
    <row r="144" spans="1:11" x14ac:dyDescent="0.25">
      <c r="A144" s="9">
        <v>43594</v>
      </c>
      <c r="B144" s="10">
        <v>43717</v>
      </c>
      <c r="C144" s="11">
        <v>1150</v>
      </c>
      <c r="D144" s="12" t="s">
        <v>152</v>
      </c>
      <c r="E144" s="13">
        <f>[2]!Table1[[#This Row],[Qty Entrada]]-[2]!Table1[[#This Row],[Qty Salida]]</f>
        <v>1</v>
      </c>
      <c r="F144" s="2" t="s">
        <v>24</v>
      </c>
      <c r="G144" s="14">
        <f>SUMIF([2]!Table3[Código Institucional],[2]Existencia!C144:C433,[2]!Table3[Cantidad])</f>
        <v>1</v>
      </c>
      <c r="H144" s="14">
        <f>SUMIF([2]!Table2[Código Institucional],[2]Existencia!C144:C433,[2]!Table2[Cantidad])</f>
        <v>0</v>
      </c>
      <c r="I144" s="4">
        <v>375</v>
      </c>
      <c r="J144" s="16">
        <f t="shared" si="5"/>
        <v>67.5</v>
      </c>
      <c r="K144" s="17">
        <f t="shared" si="4"/>
        <v>442.5</v>
      </c>
    </row>
    <row r="145" spans="1:11" x14ac:dyDescent="0.25">
      <c r="A145" s="34">
        <v>44680</v>
      </c>
      <c r="B145" s="19">
        <v>44687</v>
      </c>
      <c r="C145" s="11">
        <v>1153</v>
      </c>
      <c r="D145" s="12" t="s">
        <v>153</v>
      </c>
      <c r="E145" s="13">
        <f>[2]!Table1[[#This Row],[Qty Entrada]]-[2]!Table1[[#This Row],[Qty Salida]]</f>
        <v>5</v>
      </c>
      <c r="F145" s="2" t="s">
        <v>24</v>
      </c>
      <c r="G145" s="14">
        <f>SUMIF([2]!Table3[Código Institucional],[2]Existencia!C145:C436,[2]!Table3[Cantidad])</f>
        <v>5</v>
      </c>
      <c r="H145" s="14">
        <f>SUMIF([2]!Table2[Código Institucional],[2]Existencia!C145:C436,[2]!Table2[Cantidad])</f>
        <v>0</v>
      </c>
      <c r="I145" s="4">
        <v>111</v>
      </c>
      <c r="J145" s="16">
        <f t="shared" si="5"/>
        <v>99.9</v>
      </c>
      <c r="K145" s="17">
        <f t="shared" si="4"/>
        <v>654.9</v>
      </c>
    </row>
    <row r="146" spans="1:11" x14ac:dyDescent="0.25">
      <c r="A146" s="34"/>
      <c r="B146" s="19"/>
      <c r="C146" s="20">
        <v>2132</v>
      </c>
      <c r="D146" s="21" t="s">
        <v>154</v>
      </c>
      <c r="E146" s="13">
        <f>[2]!Table1[[#This Row],[Qty Entrada]]-[2]!Table1[[#This Row],[Qty Salida]]</f>
        <v>3</v>
      </c>
      <c r="F146" s="2" t="s">
        <v>24</v>
      </c>
      <c r="G146" s="14">
        <f>SUMIF([2]!Table3[Código Institucional],[2]Existencia!C146:C371,[2]!Table3[Cantidad])</f>
        <v>3</v>
      </c>
      <c r="H146" s="14">
        <f>SUMIF([2]!Table2[Código Institucional],[2]Existencia!C146:C371,[2]!Table2[Cantidad])</f>
        <v>0</v>
      </c>
      <c r="I146" s="4">
        <v>110</v>
      </c>
      <c r="J146" s="16">
        <f>I146*18%*E146</f>
        <v>59.400000000000006</v>
      </c>
      <c r="K146" s="17">
        <f>E146*I146+J146</f>
        <v>389.4</v>
      </c>
    </row>
    <row r="147" spans="1:11" x14ac:dyDescent="0.25">
      <c r="A147" s="34"/>
      <c r="B147" s="19"/>
      <c r="C147" s="20">
        <v>2182</v>
      </c>
      <c r="D147" s="21" t="s">
        <v>282</v>
      </c>
      <c r="E147" s="13">
        <f>[2]!Table1[[#This Row],[Qty Entrada]]-[2]!Table1[[#This Row],[Qty Salida]]</f>
        <v>3</v>
      </c>
      <c r="F147" s="2" t="s">
        <v>24</v>
      </c>
      <c r="G147" s="14">
        <f>SUMIF([2]!Table3[Código Institucional],[2]Existencia!C147:C367,[2]!Table3[Cantidad])</f>
        <v>3</v>
      </c>
      <c r="H147" s="14">
        <f>SUMIF([2]!Table2[Código Institucional],[2]Existencia!C147:C367,[2]!Table2[Cantidad])</f>
        <v>0</v>
      </c>
      <c r="I147" s="4">
        <v>78</v>
      </c>
      <c r="J147" s="16">
        <f>I147*18%*E147</f>
        <v>42.12</v>
      </c>
      <c r="K147" s="17">
        <f>E147*I147+J147</f>
        <v>276.12</v>
      </c>
    </row>
    <row r="148" spans="1:11" x14ac:dyDescent="0.25">
      <c r="A148" s="33">
        <v>44680</v>
      </c>
      <c r="B148" s="10">
        <v>44687</v>
      </c>
      <c r="C148" s="11">
        <v>1154</v>
      </c>
      <c r="D148" t="s">
        <v>155</v>
      </c>
      <c r="E148" s="13">
        <f>[2]!Table1[[#This Row],[Qty Entrada]]-[2]!Table1[[#This Row],[Qty Salida]]</f>
        <v>6</v>
      </c>
      <c r="F148" s="2" t="s">
        <v>24</v>
      </c>
      <c r="G148" s="14">
        <f>SUMIF([2]!Table3[Código Institucional],[2]Existencia!C148:C437,[2]!Table3[Cantidad])</f>
        <v>6</v>
      </c>
      <c r="H148" s="14">
        <f>SUMIF([2]!Table2[Código Institucional],[2]Existencia!C148:C437,[2]!Table2[Cantidad])</f>
        <v>0</v>
      </c>
      <c r="I148" s="4">
        <v>85</v>
      </c>
      <c r="J148" s="16">
        <f t="shared" si="5"/>
        <v>91.8</v>
      </c>
      <c r="K148" s="17">
        <f t="shared" si="4"/>
        <v>601.79999999999995</v>
      </c>
    </row>
    <row r="149" spans="1:11" x14ac:dyDescent="0.25">
      <c r="A149" s="18">
        <v>43594</v>
      </c>
      <c r="B149" s="19">
        <v>43717</v>
      </c>
      <c r="C149" s="11">
        <v>1155</v>
      </c>
      <c r="D149" s="12" t="s">
        <v>156</v>
      </c>
      <c r="E149" s="13">
        <f>[2]!Table1[[#This Row],[Qty Entrada]]-[2]!Table1[[#This Row],[Qty Salida]]</f>
        <v>1</v>
      </c>
      <c r="F149" s="2" t="s">
        <v>24</v>
      </c>
      <c r="G149" s="14">
        <f>SUMIF([2]!Table3[Código Institucional],[2]Existencia!C149:C438,[2]!Table3[Cantidad])</f>
        <v>2</v>
      </c>
      <c r="H149" s="14">
        <f>SUMIF([2]!Table2[Código Institucional],[2]Existencia!C149:C438,[2]!Table2[Cantidad])</f>
        <v>1</v>
      </c>
      <c r="I149" s="4">
        <v>385</v>
      </c>
      <c r="J149" s="16">
        <f t="shared" si="5"/>
        <v>69.3</v>
      </c>
      <c r="K149" s="17">
        <f t="shared" si="4"/>
        <v>454.3</v>
      </c>
    </row>
    <row r="150" spans="1:11" x14ac:dyDescent="0.25">
      <c r="A150" s="18"/>
      <c r="B150" s="19"/>
      <c r="C150" s="20">
        <v>2136</v>
      </c>
      <c r="D150" s="21" t="s">
        <v>157</v>
      </c>
      <c r="E150" s="13">
        <f>[2]!Table1[[#This Row],[Qty Entrada]]-[2]!Table1[[#This Row],[Qty Salida]]</f>
        <v>3</v>
      </c>
      <c r="F150" s="2" t="s">
        <v>24</v>
      </c>
      <c r="G150" s="14">
        <f>SUMIF([2]!Table3[Código Institucional],[2]Existencia!C150:C376,[2]!Table3[Cantidad])</f>
        <v>10</v>
      </c>
      <c r="H150" s="14">
        <f>SUMIF([2]!Table2[Código Institucional],[2]Existencia!C150:C376,[2]!Table2[Cantidad])</f>
        <v>7</v>
      </c>
      <c r="I150" s="4">
        <v>525</v>
      </c>
      <c r="J150" s="16">
        <f>I150*18%*E150</f>
        <v>283.5</v>
      </c>
      <c r="K150" s="17">
        <f>E150*I150+J150</f>
        <v>1858.5</v>
      </c>
    </row>
    <row r="151" spans="1:11" x14ac:dyDescent="0.25">
      <c r="A151" s="33">
        <v>44680</v>
      </c>
      <c r="B151" s="10">
        <v>44687</v>
      </c>
      <c r="C151" s="11">
        <v>1156</v>
      </c>
      <c r="D151" s="12" t="s">
        <v>158</v>
      </c>
      <c r="E151" s="13">
        <f>[2]!Table1[[#This Row],[Qty Entrada]]-[2]!Table1[[#This Row],[Qty Salida]]</f>
        <v>21</v>
      </c>
      <c r="F151" s="2" t="s">
        <v>24</v>
      </c>
      <c r="G151" s="14">
        <f>SUMIF([2]!Table3[Código Institucional],[2]Existencia!C151:C439,[2]!Table3[Cantidad])</f>
        <v>30</v>
      </c>
      <c r="H151" s="14">
        <f>SUMIF([2]!Table2[Código Institucional],[2]Existencia!C151:C439,[2]!Table2[Cantidad])</f>
        <v>9</v>
      </c>
      <c r="I151" s="4">
        <v>295</v>
      </c>
      <c r="J151" s="16">
        <v>0</v>
      </c>
      <c r="K151" s="17">
        <f t="shared" si="4"/>
        <v>6195</v>
      </c>
    </row>
    <row r="152" spans="1:11" x14ac:dyDescent="0.25">
      <c r="A152" s="18">
        <v>43594</v>
      </c>
      <c r="B152" s="19">
        <v>43717</v>
      </c>
      <c r="C152" s="11">
        <v>1158</v>
      </c>
      <c r="D152" s="12" t="s">
        <v>159</v>
      </c>
      <c r="E152" s="13">
        <f>[2]!Table1[[#This Row],[Qty Entrada]]-[2]!Table1[[#This Row],[Qty Salida]]</f>
        <v>4</v>
      </c>
      <c r="F152" s="2" t="s">
        <v>160</v>
      </c>
      <c r="G152" s="14">
        <f>SUMIF([2]!Table3[Código Institucional],[2]Existencia!C152:C441,[2]!Table3[Cantidad])</f>
        <v>4</v>
      </c>
      <c r="H152" s="14">
        <f>SUMIF([2]!Table2[Código Institucional],[2]Existencia!C152:C441,[2]!Table2[Cantidad])</f>
        <v>0</v>
      </c>
      <c r="I152" s="4">
        <v>550</v>
      </c>
      <c r="J152" s="16">
        <f t="shared" si="5"/>
        <v>396</v>
      </c>
      <c r="K152" s="17">
        <f t="shared" si="4"/>
        <v>2596</v>
      </c>
    </row>
    <row r="153" spans="1:11" ht="14.25" customHeight="1" x14ac:dyDescent="0.25">
      <c r="A153" s="33">
        <v>44680</v>
      </c>
      <c r="B153" s="10">
        <v>44687</v>
      </c>
      <c r="C153" s="11">
        <v>1161</v>
      </c>
      <c r="D153" s="12" t="s">
        <v>161</v>
      </c>
      <c r="E153" s="13">
        <f>[2]!Table1[[#This Row],[Qty Entrada]]-[2]!Table1[[#This Row],[Qty Salida]]</f>
        <v>1</v>
      </c>
      <c r="F153" s="2" t="s">
        <v>160</v>
      </c>
      <c r="G153" s="14">
        <f>SUMIF([2]!Table3[Código Institucional],[2]Existencia!C153:C444,[2]!Table3[Cantidad])</f>
        <v>3</v>
      </c>
      <c r="H153" s="14">
        <f>SUMIF([2]!Table2[Código Institucional],[2]Existencia!C153:C444,[2]!Table2[Cantidad])</f>
        <v>2</v>
      </c>
      <c r="I153" s="4">
        <v>868</v>
      </c>
      <c r="J153" s="16">
        <f t="shared" si="5"/>
        <v>156.23999999999998</v>
      </c>
      <c r="K153" s="17">
        <f t="shared" si="4"/>
        <v>1024.24</v>
      </c>
    </row>
    <row r="154" spans="1:11" ht="14.25" customHeight="1" x14ac:dyDescent="0.25">
      <c r="A154" s="34"/>
      <c r="B154" s="19"/>
      <c r="C154" s="20">
        <v>2156</v>
      </c>
      <c r="D154" s="21" t="s">
        <v>162</v>
      </c>
      <c r="E154" s="13">
        <f>[2]!Table1[[#This Row],[Qty Entrada]]-[2]!Table1[[#This Row],[Qty Salida]]</f>
        <v>5</v>
      </c>
      <c r="F154" s="2" t="s">
        <v>160</v>
      </c>
      <c r="G154" s="14">
        <f>SUMIF([2]!Table3[Código Institucional],[2]Existencia!C154:C377,[2]!Table3[Cantidad])</f>
        <v>5</v>
      </c>
      <c r="H154" s="14">
        <f>SUMIF([2]!Table2[Código Institucional],[2]Existencia!C154:C377,[2]!Table2[Cantidad])</f>
        <v>0</v>
      </c>
      <c r="I154" s="4">
        <v>800</v>
      </c>
      <c r="J154" s="16">
        <f>I154*18%*E154</f>
        <v>720</v>
      </c>
      <c r="K154" s="17">
        <f>E154*I154+J154</f>
        <v>4720</v>
      </c>
    </row>
    <row r="155" spans="1:11" x14ac:dyDescent="0.25">
      <c r="A155" s="18">
        <v>43594</v>
      </c>
      <c r="B155" s="22">
        <v>44315</v>
      </c>
      <c r="C155" s="11">
        <v>2000</v>
      </c>
      <c r="D155" s="12" t="s">
        <v>163</v>
      </c>
      <c r="E155" s="13">
        <f>[2]!Table1[[#This Row],[Qty Entrada]]-[2]!Table1[[#This Row],[Qty Salida]]</f>
        <v>0</v>
      </c>
      <c r="F155" s="2" t="s">
        <v>116</v>
      </c>
      <c r="G155" s="14">
        <f>SUMIF([2]!Table3[Código Institucional],[2]Existencia!C155:C445,[2]!Table3[Cantidad])</f>
        <v>105</v>
      </c>
      <c r="H155" s="14">
        <f>SUMIF([2]!Table2[Código Institucional],[2]Existencia!C155:C445,[2]!Table2[Cantidad])</f>
        <v>105</v>
      </c>
      <c r="I155" s="4">
        <v>195</v>
      </c>
      <c r="J155" s="16">
        <f>I155*16%*E155</f>
        <v>0</v>
      </c>
      <c r="K155" s="17">
        <f t="shared" si="4"/>
        <v>0</v>
      </c>
    </row>
    <row r="156" spans="1:11" x14ac:dyDescent="0.25">
      <c r="A156" s="18"/>
      <c r="B156" s="22"/>
      <c r="C156" s="20">
        <v>2097</v>
      </c>
      <c r="D156" s="21" t="s">
        <v>164</v>
      </c>
      <c r="E156" s="13">
        <f>[2]!Table1[[#This Row],[Qty Entrada]]-[2]!Table1[[#This Row],[Qty Salida]]</f>
        <v>20</v>
      </c>
      <c r="F156" s="2" t="s">
        <v>116</v>
      </c>
      <c r="G156" s="14">
        <f>SUMIF([2]!Table3[Código Institucional],[2]Existencia!C156:C379,[2]!Table3[Cantidad])</f>
        <v>60</v>
      </c>
      <c r="H156" s="14">
        <f>SUMIF([2]!Table2[Código Institucional],[2]Existencia!C156:C379,[2]!Table2[Cantidad])</f>
        <v>40</v>
      </c>
      <c r="I156" s="4">
        <v>196</v>
      </c>
      <c r="J156" s="16">
        <f>I156*16%*E156</f>
        <v>627.20000000000005</v>
      </c>
      <c r="K156" s="17">
        <f>E156*I156+J156</f>
        <v>4547.2</v>
      </c>
    </row>
    <row r="157" spans="1:11" x14ac:dyDescent="0.25">
      <c r="A157" s="18"/>
      <c r="B157" s="22"/>
      <c r="C157" s="20">
        <v>2139</v>
      </c>
      <c r="D157" s="21" t="s">
        <v>164</v>
      </c>
      <c r="E157" s="13">
        <f>[2]!Table1[[#This Row],[Qty Entrada]]-[2]!Table1[[#This Row],[Qty Salida]]</f>
        <v>80</v>
      </c>
      <c r="F157" s="2" t="s">
        <v>116</v>
      </c>
      <c r="G157" s="14">
        <f>SUMIF([2]!Table3[Código Institucional],[2]Existencia!C157:C384,[2]!Table3[Cantidad])</f>
        <v>80</v>
      </c>
      <c r="H157" s="14">
        <f>SUMIF([2]!Table2[Código Institucional],[2]Existencia!C157:C384,[2]!Table2[Cantidad])</f>
        <v>0</v>
      </c>
      <c r="I157" s="4">
        <v>258</v>
      </c>
      <c r="J157" s="16">
        <f>I157*18%*E157</f>
        <v>3715.2</v>
      </c>
      <c r="K157" s="17">
        <f>E157*I157+J157</f>
        <v>24355.200000000001</v>
      </c>
    </row>
    <row r="158" spans="1:11" x14ac:dyDescent="0.25">
      <c r="A158" s="18"/>
      <c r="B158" s="22"/>
      <c r="C158" s="20">
        <v>2167</v>
      </c>
      <c r="D158" s="21" t="s">
        <v>283</v>
      </c>
      <c r="E158" s="13">
        <f>[2]!Table1[[#This Row],[Qty Entrada]]-[2]!Table1[[#This Row],[Qty Salida]]</f>
        <v>20</v>
      </c>
      <c r="F158" s="2" t="s">
        <v>116</v>
      </c>
      <c r="G158" s="14">
        <f>SUMIF([2]!Table3[Código Institucional],[2]Existencia!C158:C380,[2]!Table3[Cantidad])</f>
        <v>20</v>
      </c>
      <c r="H158" s="14">
        <f>SUMIF([2]!Table2[Código Institucional],[2]Existencia!C158:C380,[2]!Table2[Cantidad])</f>
        <v>0</v>
      </c>
      <c r="I158" s="4">
        <v>247</v>
      </c>
      <c r="J158" s="16">
        <f>I158*16%*E158</f>
        <v>790.40000000000009</v>
      </c>
      <c r="K158" s="17">
        <f>E158*I158+J158</f>
        <v>5730.4</v>
      </c>
    </row>
    <row r="159" spans="1:11" x14ac:dyDescent="0.25">
      <c r="A159" s="9">
        <v>43594</v>
      </c>
      <c r="B159" s="10">
        <v>44687</v>
      </c>
      <c r="C159" s="11">
        <v>2008</v>
      </c>
      <c r="D159" s="12" t="s">
        <v>165</v>
      </c>
      <c r="E159" s="13">
        <f>[2]!Table1[[#This Row],[Qty Entrada]]-[2]!Table1[[#This Row],[Qty Salida]]</f>
        <v>9</v>
      </c>
      <c r="F159" s="2" t="s">
        <v>24</v>
      </c>
      <c r="G159" s="14">
        <f>SUMIF([2]!Table3[Código Institucional],[2]Existencia!C159:C453,[2]!Table3[Cantidad])</f>
        <v>21</v>
      </c>
      <c r="H159" s="14">
        <f>SUMIF([2]!Table2[Código Institucional],[2]Existencia!C159:C453,[2]!Table2[Cantidad])</f>
        <v>12</v>
      </c>
      <c r="I159" s="4">
        <v>264</v>
      </c>
      <c r="J159" s="16">
        <f t="shared" si="5"/>
        <v>427.67999999999995</v>
      </c>
      <c r="K159" s="17">
        <f t="shared" si="4"/>
        <v>2803.68</v>
      </c>
    </row>
    <row r="160" spans="1:11" x14ac:dyDescent="0.25">
      <c r="A160" s="18">
        <v>43594</v>
      </c>
      <c r="B160" s="19">
        <v>44687</v>
      </c>
      <c r="C160" s="11">
        <v>2009</v>
      </c>
      <c r="D160" s="12" t="s">
        <v>166</v>
      </c>
      <c r="E160" s="13">
        <f>[2]!Table1[[#This Row],[Qty Entrada]]-[2]!Table1[[#This Row],[Qty Salida]]</f>
        <v>54</v>
      </c>
      <c r="F160" s="2" t="s">
        <v>24</v>
      </c>
      <c r="G160" s="14">
        <f>SUMIF([2]!Table3[Código Institucional],[2]Existencia!C160:C454,[2]!Table3[Cantidad])</f>
        <v>94</v>
      </c>
      <c r="H160" s="14">
        <f>SUMIF([2]!Table2[Código Institucional],[2]Existencia!C160:C454,[2]!Table2[Cantidad])</f>
        <v>40</v>
      </c>
      <c r="I160" s="4">
        <v>12</v>
      </c>
      <c r="J160" s="16">
        <v>0</v>
      </c>
      <c r="K160" s="17">
        <f t="shared" si="4"/>
        <v>648</v>
      </c>
    </row>
    <row r="161" spans="1:11" x14ac:dyDescent="0.25">
      <c r="A161" s="18"/>
      <c r="B161" s="19"/>
      <c r="C161" s="20">
        <v>2140</v>
      </c>
      <c r="D161" s="21" t="s">
        <v>167</v>
      </c>
      <c r="E161" s="13">
        <f>[2]!Table1[[#This Row],[Qty Entrada]]-[2]!Table1[[#This Row],[Qty Salida]]</f>
        <v>20</v>
      </c>
      <c r="F161" s="2" t="s">
        <v>24</v>
      </c>
      <c r="G161" s="14">
        <f>SUMIF([2]!Table3[Código Institucional],[2]Existencia!C161:C387,[2]!Table3[Cantidad])</f>
        <v>20</v>
      </c>
      <c r="H161" s="14">
        <f>SUMIF([2]!Table2[Código Institucional],[2]Existencia!C161:C387,[2]!Table2[Cantidad])</f>
        <v>0</v>
      </c>
      <c r="I161" s="4">
        <v>13</v>
      </c>
      <c r="J161" s="16">
        <v>0</v>
      </c>
      <c r="K161" s="17">
        <f>E161*I161+J161</f>
        <v>260</v>
      </c>
    </row>
    <row r="162" spans="1:11" x14ac:dyDescent="0.25">
      <c r="A162" s="18"/>
      <c r="B162" s="19"/>
      <c r="C162" s="20">
        <v>2164</v>
      </c>
      <c r="D162" s="21" t="s">
        <v>284</v>
      </c>
      <c r="E162" s="13">
        <f>[2]!Table1[[#This Row],[Qty Entrada]]-[2]!Table1[[#This Row],[Qty Salida]]</f>
        <v>20</v>
      </c>
      <c r="F162" s="2" t="s">
        <v>24</v>
      </c>
      <c r="G162" s="14">
        <f>SUMIF([2]!Table3[Código Institucional],[2]Existencia!C162:C383,[2]!Table3[Cantidad])</f>
        <v>20</v>
      </c>
      <c r="H162" s="14">
        <f>SUMIF([2]!Table2[Código Institucional],[2]Existencia!C162:C383,[2]!Table2[Cantidad])</f>
        <v>0</v>
      </c>
      <c r="I162" s="4">
        <v>9.9499999999999993</v>
      </c>
      <c r="J162" s="16">
        <v>0</v>
      </c>
      <c r="K162" s="17">
        <f>E162*I162+J162</f>
        <v>199</v>
      </c>
    </row>
    <row r="163" spans="1:11" x14ac:dyDescent="0.25">
      <c r="A163" s="9">
        <v>43594</v>
      </c>
      <c r="B163" s="26">
        <v>44315</v>
      </c>
      <c r="C163" s="11">
        <v>2010</v>
      </c>
      <c r="D163" s="12" t="s">
        <v>168</v>
      </c>
      <c r="E163" s="13">
        <f>[2]!Table1[[#This Row],[Qty Entrada]]-[2]!Table1[[#This Row],[Qty Salida]]</f>
        <v>33</v>
      </c>
      <c r="F163" s="2" t="s">
        <v>24</v>
      </c>
      <c r="G163" s="14">
        <f>SUMIF([2]!Table3[Código Institucional],[2]Existencia!C163:C455,[2]!Table3[Cantidad])</f>
        <v>40</v>
      </c>
      <c r="H163" s="14">
        <f>SUMIF([2]!Table2[Código Institucional],[2]Existencia!C163:C455,[2]!Table2[Cantidad])</f>
        <v>7</v>
      </c>
      <c r="I163" s="4">
        <v>269</v>
      </c>
      <c r="J163" s="16">
        <f t="shared" si="5"/>
        <v>1597.8600000000001</v>
      </c>
      <c r="K163" s="17">
        <f t="shared" si="4"/>
        <v>10474.86</v>
      </c>
    </row>
    <row r="164" spans="1:11" x14ac:dyDescent="0.25">
      <c r="A164" s="34">
        <v>44680</v>
      </c>
      <c r="B164" s="19">
        <v>44687</v>
      </c>
      <c r="C164" s="11">
        <v>2011</v>
      </c>
      <c r="D164" s="12" t="s">
        <v>169</v>
      </c>
      <c r="E164" s="13">
        <f>[2]!Table1[[#This Row],[Qty Entrada]]-[2]!Table1[[#This Row],[Qty Salida]]</f>
        <v>0</v>
      </c>
      <c r="F164" s="2" t="s">
        <v>24</v>
      </c>
      <c r="G164" s="14">
        <f>SUMIF([2]!Table3[Código Institucional],[2]Existencia!C164:C456,[2]!Table3[Cantidad])</f>
        <v>14</v>
      </c>
      <c r="H164" s="14">
        <f>SUMIF([2]!Table2[Código Institucional],[2]Existencia!C164:C456,[2]!Table2[Cantidad])</f>
        <v>14</v>
      </c>
      <c r="I164" s="4">
        <v>195</v>
      </c>
      <c r="J164" s="16">
        <f t="shared" si="5"/>
        <v>0</v>
      </c>
      <c r="K164" s="17">
        <f t="shared" si="4"/>
        <v>0</v>
      </c>
    </row>
    <row r="165" spans="1:11" x14ac:dyDescent="0.25">
      <c r="A165" s="34"/>
      <c r="B165" s="19"/>
      <c r="C165" s="20">
        <v>2098</v>
      </c>
      <c r="D165" s="21" t="s">
        <v>170</v>
      </c>
      <c r="E165" s="13">
        <f>[2]!Table1[[#This Row],[Qty Entrada]]-[2]!Table1[[#This Row],[Qty Salida]]</f>
        <v>13</v>
      </c>
      <c r="F165" s="2" t="s">
        <v>24</v>
      </c>
      <c r="G165" s="14">
        <f>SUMIF([2]!Table3[Código Institucional],[2]Existencia!C165:C384,[2]!Table3[Cantidad])</f>
        <v>15</v>
      </c>
      <c r="H165" s="14">
        <f>SUMIF([2]!Table2[Código Institucional],[2]Existencia!C165:C384,[2]!Table2[Cantidad])</f>
        <v>2</v>
      </c>
      <c r="I165" s="4">
        <v>110</v>
      </c>
      <c r="J165" s="16">
        <f>I165*18%*E165</f>
        <v>257.40000000000003</v>
      </c>
      <c r="K165" s="17">
        <f>E165*I165+J165</f>
        <v>1687.4</v>
      </c>
    </row>
    <row r="166" spans="1:11" x14ac:dyDescent="0.25">
      <c r="A166" s="34"/>
      <c r="B166" s="19"/>
      <c r="C166" s="20">
        <v>2162</v>
      </c>
      <c r="D166" s="21" t="s">
        <v>171</v>
      </c>
      <c r="E166" s="13">
        <f>[2]!Table1[[#This Row],[Qty Entrada]]-[2]!Table1[[#This Row],[Qty Salida]]</f>
        <v>20</v>
      </c>
      <c r="F166" s="2" t="s">
        <v>30</v>
      </c>
      <c r="G166" s="14">
        <f>SUMIF([2]!Table3[Código Institucional],[2]Existencia!C166:C386,[2]!Table3[Cantidad])</f>
        <v>20</v>
      </c>
      <c r="H166" s="14">
        <f>SUMIF([2]!Table2[Código Institucional],[2]Existencia!C166:C386,[2]!Table2[Cantidad])</f>
        <v>0</v>
      </c>
      <c r="I166" s="4">
        <v>200</v>
      </c>
      <c r="J166" s="16">
        <f>I166*18%*E166</f>
        <v>720</v>
      </c>
      <c r="K166" s="17">
        <f>E166*I166+J166</f>
        <v>4720</v>
      </c>
    </row>
    <row r="167" spans="1:11" x14ac:dyDescent="0.25">
      <c r="A167" s="34"/>
      <c r="B167" s="19"/>
      <c r="C167" s="20">
        <v>2168</v>
      </c>
      <c r="D167" s="21" t="s">
        <v>285</v>
      </c>
      <c r="E167" s="13">
        <f>[2]!Table1[[#This Row],[Qty Entrada]]-[2]!Table1[[#This Row],[Qty Salida]]</f>
        <v>20</v>
      </c>
      <c r="F167" s="2" t="s">
        <v>30</v>
      </c>
      <c r="G167" s="14">
        <f>SUMIF([2]!Table3[Código Institucional],[2]Existencia!C167:C389,[2]!Table3[Cantidad])</f>
        <v>20</v>
      </c>
      <c r="H167" s="14">
        <f>SUMIF([2]!Table2[Código Institucional],[2]Existencia!C167:C389,[2]!Table2[Cantidad])</f>
        <v>0</v>
      </c>
      <c r="I167" s="4">
        <v>120</v>
      </c>
      <c r="J167" s="16">
        <f>I167*18%*E167</f>
        <v>431.99999999999994</v>
      </c>
      <c r="K167" s="17">
        <f>E167*I167+J167</f>
        <v>2832</v>
      </c>
    </row>
    <row r="168" spans="1:11" x14ac:dyDescent="0.25">
      <c r="A168" s="9">
        <v>44049</v>
      </c>
      <c r="B168" s="26">
        <v>44315</v>
      </c>
      <c r="C168" s="11">
        <v>2014</v>
      </c>
      <c r="D168" s="12" t="s">
        <v>172</v>
      </c>
      <c r="E168" s="13">
        <f>[2]!Table1[[#This Row],[Qty Entrada]]-[2]!Table1[[#This Row],[Qty Salida]]</f>
        <v>0</v>
      </c>
      <c r="F168" s="2" t="s">
        <v>116</v>
      </c>
      <c r="G168" s="14">
        <f>SUMIF([2]!Table3[Código Institucional],[2]Existencia!C168:C459,[2]!Table3[Cantidad])</f>
        <v>37</v>
      </c>
      <c r="H168" s="14">
        <f>SUMIF([2]!Table2[Código Institucional],[2]Existencia!C168:C459,[2]!Table2[Cantidad])</f>
        <v>37</v>
      </c>
      <c r="I168" s="4">
        <v>92</v>
      </c>
      <c r="J168" s="16">
        <f>I168*18%*E168</f>
        <v>0</v>
      </c>
      <c r="K168" s="17">
        <f>E168*I168+J168</f>
        <v>0</v>
      </c>
    </row>
    <row r="169" spans="1:11" x14ac:dyDescent="0.25">
      <c r="A169" s="34">
        <v>44312</v>
      </c>
      <c r="B169" s="22">
        <v>44315</v>
      </c>
      <c r="C169" s="11">
        <v>2016</v>
      </c>
      <c r="D169" s="12" t="s">
        <v>173</v>
      </c>
      <c r="E169" s="13">
        <f>[2]!Table1[[#This Row],[Qty Entrada]]-[2]!Table1[[#This Row],[Qty Salida]]</f>
        <v>0</v>
      </c>
      <c r="F169" s="2" t="s">
        <v>24</v>
      </c>
      <c r="G169" s="14">
        <f>SUMIF([2]!Table3[Código Institucional],[2]Existencia!C169:C461,[2]!Table3[Cantidad])</f>
        <v>88</v>
      </c>
      <c r="H169" s="14">
        <f>SUMIF([2]!Table2[Código Institucional],[2]Existencia!C169:C461,[2]!Table2[Cantidad])</f>
        <v>88</v>
      </c>
      <c r="I169" s="4">
        <v>159</v>
      </c>
      <c r="J169" s="16">
        <f t="shared" si="5"/>
        <v>0</v>
      </c>
      <c r="K169" s="17">
        <f t="shared" si="4"/>
        <v>0</v>
      </c>
    </row>
    <row r="170" spans="1:11" x14ac:dyDescent="0.25">
      <c r="A170" s="34"/>
      <c r="B170" s="22"/>
      <c r="C170" s="20">
        <v>2100</v>
      </c>
      <c r="D170" s="21" t="s">
        <v>174</v>
      </c>
      <c r="E170" s="13">
        <f>[2]!Table1[[#This Row],[Qty Entrada]]-[2]!Table1[[#This Row],[Qty Salida]]</f>
        <v>0</v>
      </c>
      <c r="F170" s="2" t="s">
        <v>116</v>
      </c>
      <c r="G170" s="14">
        <f>SUMIF([2]!Table3[Código Institucional],[2]Existencia!C170:C386,[2]!Table3[Cantidad])</f>
        <v>60</v>
      </c>
      <c r="H170" s="14">
        <f>SUMIF([2]!Table2[Código Institucional],[2]Existencia!C170:C386,[2]!Table2[Cantidad])</f>
        <v>60</v>
      </c>
      <c r="I170" s="4">
        <v>61</v>
      </c>
      <c r="J170" s="16">
        <f>I170*18%*E170</f>
        <v>0</v>
      </c>
      <c r="K170" s="17">
        <f>E170*I170+J170</f>
        <v>0</v>
      </c>
    </row>
    <row r="171" spans="1:11" x14ac:dyDescent="0.25">
      <c r="A171" s="34"/>
      <c r="B171" s="22"/>
      <c r="C171" s="20">
        <v>2141</v>
      </c>
      <c r="D171" s="21" t="s">
        <v>175</v>
      </c>
      <c r="E171" s="13">
        <f>[2]!Table1[[#This Row],[Qty Entrada]]-[2]!Table1[[#This Row],[Qty Salida]]</f>
        <v>63</v>
      </c>
      <c r="F171" s="2" t="s">
        <v>116</v>
      </c>
      <c r="G171" s="14">
        <f>SUMIF([2]!Table3[Código Institucional],[2]Existencia!C171:C394,[2]!Table3[Cantidad])</f>
        <v>90</v>
      </c>
      <c r="H171" s="14">
        <f>SUMIF([2]!Table2[Código Institucional],[2]Existencia!C171:C394,[2]!Table2[Cantidad])</f>
        <v>27</v>
      </c>
      <c r="I171" s="4">
        <v>74</v>
      </c>
      <c r="J171" s="16">
        <f>I171*18%*E171</f>
        <v>839.16</v>
      </c>
      <c r="K171" s="17">
        <f>E171*I171+J171</f>
        <v>5501.16</v>
      </c>
    </row>
    <row r="172" spans="1:11" x14ac:dyDescent="0.25">
      <c r="A172" s="34"/>
      <c r="B172" s="22"/>
      <c r="C172" s="20">
        <v>2169</v>
      </c>
      <c r="D172" s="21" t="s">
        <v>286</v>
      </c>
      <c r="E172" s="13">
        <f>[2]!Table1[[#This Row],[Qty Entrada]]-[2]!Table1[[#This Row],[Qty Salida]]</f>
        <v>100</v>
      </c>
      <c r="F172" s="2" t="s">
        <v>116</v>
      </c>
      <c r="G172" s="14">
        <f>SUMIF([2]!Table3[Código Institucional],[2]Existencia!C172:C394,[2]!Table3[Cantidad])</f>
        <v>100</v>
      </c>
      <c r="H172" s="14">
        <f>SUMIF([2]!Table2[Código Institucional],[2]Existencia!C172:C394,[2]!Table2[Cantidad])</f>
        <v>0</v>
      </c>
      <c r="I172" s="4">
        <v>39.9</v>
      </c>
      <c r="J172" s="16">
        <f>I172*18%*E172</f>
        <v>718.19999999999993</v>
      </c>
      <c r="K172" s="17">
        <f>E172*I172+J172</f>
        <v>4708.2</v>
      </c>
    </row>
    <row r="173" spans="1:11" x14ac:dyDescent="0.25">
      <c r="A173" s="35">
        <v>43698</v>
      </c>
      <c r="B173" s="10">
        <v>44687</v>
      </c>
      <c r="C173" s="11">
        <v>2017</v>
      </c>
      <c r="D173" s="12" t="s">
        <v>176</v>
      </c>
      <c r="E173" s="13">
        <f>[2]!Table1[[#This Row],[Qty Entrada]]-[2]!Table1[[#This Row],[Qty Salida]]</f>
        <v>5</v>
      </c>
      <c r="F173" s="2" t="s">
        <v>116</v>
      </c>
      <c r="G173" s="14">
        <f>SUMIF([2]!Table3[Código Institucional],[2]Existencia!C173:C462,[2]!Table3[Cantidad])</f>
        <v>37</v>
      </c>
      <c r="H173" s="14">
        <f>SUMIF([2]!Table2[Código Institucional],[2]Existencia!C173:C462,[2]!Table2[Cantidad])</f>
        <v>32</v>
      </c>
      <c r="I173" s="4">
        <v>170</v>
      </c>
      <c r="J173" s="16">
        <f>I173*16%*E173</f>
        <v>136</v>
      </c>
      <c r="K173" s="17">
        <f t="shared" si="4"/>
        <v>986</v>
      </c>
    </row>
    <row r="174" spans="1:11" x14ac:dyDescent="0.25">
      <c r="A174" s="36"/>
      <c r="B174" s="19"/>
      <c r="C174" s="20">
        <v>2101</v>
      </c>
      <c r="D174" s="21" t="s">
        <v>177</v>
      </c>
      <c r="E174" s="13">
        <f>[2]!Table1[[#This Row],[Qty Entrada]]-[2]!Table1[[#This Row],[Qty Salida]]</f>
        <v>20</v>
      </c>
      <c r="F174" s="2" t="s">
        <v>116</v>
      </c>
      <c r="G174" s="14">
        <f>SUMIF([2]!Table3[Código Institucional],[2]Existencia!C174:C388,[2]!Table3[Cantidad])</f>
        <v>20</v>
      </c>
      <c r="H174" s="14">
        <f>SUMIF([2]!Table2[Código Institucional],[2]Existencia!C174:C388,[2]!Table2[Cantidad])</f>
        <v>0</v>
      </c>
      <c r="I174" s="4">
        <v>167</v>
      </c>
      <c r="J174" s="16">
        <f>I174*16%*E174</f>
        <v>534.4</v>
      </c>
      <c r="K174" s="17">
        <f>E174*I174+J174</f>
        <v>3874.4</v>
      </c>
    </row>
    <row r="175" spans="1:11" x14ac:dyDescent="0.25">
      <c r="A175" s="36">
        <v>43698</v>
      </c>
      <c r="B175" s="19">
        <v>44687</v>
      </c>
      <c r="C175" s="11">
        <v>2018</v>
      </c>
      <c r="D175" s="12" t="s">
        <v>178</v>
      </c>
      <c r="E175" s="13">
        <f>[2]!Table1[[#This Row],[Qty Entrada]]-[2]!Table1[[#This Row],[Qty Salida]]</f>
        <v>9</v>
      </c>
      <c r="F175" s="2" t="s">
        <v>116</v>
      </c>
      <c r="G175" s="14">
        <f>SUMIF([2]!Table3[Código Institucional],[2]Existencia!C175:C463,[2]!Table3[Cantidad])</f>
        <v>35</v>
      </c>
      <c r="H175" s="14">
        <f>SUMIF([2]!Table2[Código Institucional],[2]Existencia!C175:C463,[2]!Table2[Cantidad])</f>
        <v>26</v>
      </c>
      <c r="I175" s="4">
        <v>141</v>
      </c>
      <c r="J175" s="16">
        <f>I175*16%*E175</f>
        <v>203.04</v>
      </c>
      <c r="K175" s="17">
        <f t="shared" si="4"/>
        <v>1472.04</v>
      </c>
    </row>
    <row r="176" spans="1:11" x14ac:dyDescent="0.25">
      <c r="A176" s="36"/>
      <c r="B176" s="19"/>
      <c r="C176" s="20">
        <v>2102</v>
      </c>
      <c r="D176" s="21" t="s">
        <v>179</v>
      </c>
      <c r="E176" s="13">
        <f>[2]!Table1[[#This Row],[Qty Entrada]]-[2]!Table1[[#This Row],[Qty Salida]]</f>
        <v>20</v>
      </c>
      <c r="F176" s="2" t="s">
        <v>116</v>
      </c>
      <c r="G176" s="14">
        <f>SUMIF([2]!Table3[Código Institucional],[2]Existencia!C176:C390,[2]!Table3[Cantidad])</f>
        <v>20</v>
      </c>
      <c r="H176" s="14">
        <f>SUMIF([2]!Table2[Código Institucional],[2]Existencia!C176:C390,[2]!Table2[Cantidad])</f>
        <v>0</v>
      </c>
      <c r="I176" s="4">
        <v>140</v>
      </c>
      <c r="J176" s="16">
        <f>I176*16%*E176</f>
        <v>448.00000000000006</v>
      </c>
      <c r="K176" s="17">
        <f>E176*I176+J176</f>
        <v>3248</v>
      </c>
    </row>
    <row r="177" spans="1:11" x14ac:dyDescent="0.25">
      <c r="A177" s="35">
        <v>43698</v>
      </c>
      <c r="B177" s="10">
        <v>44687</v>
      </c>
      <c r="C177" s="11">
        <v>2019</v>
      </c>
      <c r="D177" s="12" t="s">
        <v>180</v>
      </c>
      <c r="E177" s="13">
        <f>[2]!Table1[[#This Row],[Qty Entrada]]-[2]!Table1[[#This Row],[Qty Salida]]</f>
        <v>5</v>
      </c>
      <c r="F177" s="2" t="s">
        <v>24</v>
      </c>
      <c r="G177" s="14">
        <f>SUMIF([2]!Table3[Código Institucional],[2]Existencia!C177:C464,[2]!Table3[Cantidad])</f>
        <v>29</v>
      </c>
      <c r="H177" s="14">
        <f>SUMIF([2]!Table2[Código Institucional],[2]Existencia!C177:C464,[2]!Table2[Cantidad])</f>
        <v>24</v>
      </c>
      <c r="I177" s="4">
        <v>320</v>
      </c>
      <c r="J177" s="16">
        <f t="shared" si="5"/>
        <v>288</v>
      </c>
      <c r="K177" s="17">
        <f t="shared" si="4"/>
        <v>1888</v>
      </c>
    </row>
    <row r="178" spans="1:11" x14ac:dyDescent="0.25">
      <c r="A178" s="36"/>
      <c r="B178" s="19"/>
      <c r="C178" s="20">
        <v>2103</v>
      </c>
      <c r="D178" s="21" t="s">
        <v>181</v>
      </c>
      <c r="E178" s="13">
        <f>[2]!Table1[[#This Row],[Qty Entrada]]-[2]!Table1[[#This Row],[Qty Salida]]</f>
        <v>15</v>
      </c>
      <c r="F178" s="2" t="s">
        <v>24</v>
      </c>
      <c r="G178" s="14">
        <f>SUMIF([2]!Table3[Código Institucional],[2]Existencia!C178:C392,[2]!Table3[Cantidad])</f>
        <v>15</v>
      </c>
      <c r="H178" s="14">
        <f>SUMIF([2]!Table2[Código Institucional],[2]Existencia!C178:C392,[2]!Table2[Cantidad])</f>
        <v>0</v>
      </c>
      <c r="I178" s="4">
        <v>319</v>
      </c>
      <c r="J178" s="16">
        <f>I178*18%*E178</f>
        <v>861.3</v>
      </c>
      <c r="K178" s="17">
        <f>E178*I178+J178</f>
        <v>5646.3</v>
      </c>
    </row>
    <row r="179" spans="1:11" x14ac:dyDescent="0.25">
      <c r="A179" s="36">
        <v>43698</v>
      </c>
      <c r="B179" s="19">
        <v>44687</v>
      </c>
      <c r="C179" s="11">
        <v>2020</v>
      </c>
      <c r="D179" s="12" t="s">
        <v>182</v>
      </c>
      <c r="E179" s="13">
        <f>[2]!Table1[[#This Row],[Qty Entrada]]-[2]!Table1[[#This Row],[Qty Salida]]</f>
        <v>0</v>
      </c>
      <c r="F179" s="2" t="s">
        <v>24</v>
      </c>
      <c r="G179" s="14">
        <f>SUMIF([2]!Table3[Código Institucional],[2]Existencia!C179:C465,[2]!Table3[Cantidad])</f>
        <v>20</v>
      </c>
      <c r="H179" s="14">
        <f>SUMIF([2]!Table2[Código Institucional],[2]Existencia!C179:C465,[2]!Table2[Cantidad])</f>
        <v>20</v>
      </c>
      <c r="I179" s="4">
        <v>499</v>
      </c>
      <c r="J179" s="16">
        <f t="shared" si="5"/>
        <v>0</v>
      </c>
      <c r="K179" s="17">
        <f t="shared" si="4"/>
        <v>0</v>
      </c>
    </row>
    <row r="180" spans="1:11" x14ac:dyDescent="0.25">
      <c r="A180" s="36"/>
      <c r="B180" s="19"/>
      <c r="C180" s="20">
        <v>2163</v>
      </c>
      <c r="D180" s="21" t="s">
        <v>183</v>
      </c>
      <c r="E180" s="13">
        <f>[2]!Table1[[#This Row],[Qty Entrada]]-[2]!Table1[[#This Row],[Qty Salida]]</f>
        <v>0</v>
      </c>
      <c r="F180" s="2" t="s">
        <v>24</v>
      </c>
      <c r="G180" s="14">
        <f>SUMIF([2]!Table3[Código Institucional],[2]Existencia!C180:C398,[2]!Table3[Cantidad])</f>
        <v>10</v>
      </c>
      <c r="H180" s="14">
        <f>SUMIF([2]!Table2[Código Institucional],[2]Existencia!C180:C398,[2]!Table2[Cantidad])</f>
        <v>10</v>
      </c>
      <c r="I180" s="4">
        <v>479.55</v>
      </c>
      <c r="J180" s="16">
        <f>I180*18%*E180</f>
        <v>0</v>
      </c>
      <c r="K180" s="17">
        <f>E180*I180+J180</f>
        <v>0</v>
      </c>
    </row>
    <row r="181" spans="1:11" x14ac:dyDescent="0.25">
      <c r="A181" s="36"/>
      <c r="B181" s="19"/>
      <c r="C181" s="20">
        <v>2107</v>
      </c>
      <c r="D181" s="21" t="s">
        <v>184</v>
      </c>
      <c r="E181" s="13">
        <f>[2]!Table1[[#This Row],[Qty Entrada]]-[2]!Table1[[#This Row],[Qty Salida]]</f>
        <v>13</v>
      </c>
      <c r="F181" s="2" t="s">
        <v>24</v>
      </c>
      <c r="G181" s="14">
        <f>SUMIF([2]!Table3[Código Institucional],[2]Existencia!C181:C393,[2]!Table3[Cantidad])</f>
        <v>15</v>
      </c>
      <c r="H181" s="14">
        <f>SUMIF([2]!Table2[Código Institucional],[2]Existencia!C181:C393,[2]!Table2[Cantidad])</f>
        <v>2</v>
      </c>
      <c r="I181" s="4">
        <v>445</v>
      </c>
      <c r="J181" s="16">
        <f>I181*18%*E181</f>
        <v>1041.3</v>
      </c>
      <c r="K181" s="17">
        <f>E181*I181+J181</f>
        <v>6826.3</v>
      </c>
    </row>
    <row r="182" spans="1:11" x14ac:dyDescent="0.25">
      <c r="A182" s="36"/>
      <c r="B182" s="19"/>
      <c r="C182" s="20">
        <v>2166</v>
      </c>
      <c r="D182" s="21" t="s">
        <v>287</v>
      </c>
      <c r="E182" s="13">
        <f>[2]!Table1[[#This Row],[Qty Entrada]]-[2]!Table1[[#This Row],[Qty Salida]]</f>
        <v>10</v>
      </c>
      <c r="F182" s="2" t="s">
        <v>24</v>
      </c>
      <c r="G182" s="14">
        <f>SUMIF([2]!Table3[Código Institucional],[2]Existencia!C182:C401,[2]!Table3[Cantidad])</f>
        <v>10</v>
      </c>
      <c r="H182" s="14">
        <f>SUMIF([2]!Table2[Código Institucional],[2]Existencia!C182:C401,[2]!Table2[Cantidad])</f>
        <v>0</v>
      </c>
      <c r="I182" s="4">
        <v>410</v>
      </c>
      <c r="J182" s="16">
        <f>I182*18%*E182</f>
        <v>738</v>
      </c>
      <c r="K182" s="17">
        <f>E182*I182+J182</f>
        <v>4838</v>
      </c>
    </row>
    <row r="183" spans="1:11" x14ac:dyDescent="0.25">
      <c r="A183" s="9">
        <v>44687</v>
      </c>
      <c r="B183" s="10">
        <v>44687</v>
      </c>
      <c r="C183" s="11">
        <v>2022</v>
      </c>
      <c r="D183" s="12" t="s">
        <v>185</v>
      </c>
      <c r="E183" s="13">
        <f>[2]!Table1[[#This Row],[Qty Entrada]]-[2]!Table1[[#This Row],[Qty Salida]]</f>
        <v>0</v>
      </c>
      <c r="F183" s="2" t="s">
        <v>30</v>
      </c>
      <c r="G183" s="14">
        <f>SUMIF([2]!Table3[Código Institucional],[2]Existencia!C183:C467,[2]!Table3[Cantidad])</f>
        <v>29</v>
      </c>
      <c r="H183" s="14">
        <f>SUMIF([2]!Table2[Código Institucional],[2]Existencia!C183:C467,[2]!Table2[Cantidad])</f>
        <v>29</v>
      </c>
      <c r="I183" s="4">
        <v>250</v>
      </c>
      <c r="J183" s="16">
        <f t="shared" si="5"/>
        <v>0</v>
      </c>
      <c r="K183" s="17">
        <f t="shared" si="4"/>
        <v>0</v>
      </c>
    </row>
    <row r="184" spans="1:11" x14ac:dyDescent="0.25">
      <c r="A184" s="36">
        <v>43698</v>
      </c>
      <c r="B184" s="22">
        <v>44315</v>
      </c>
      <c r="C184" s="20">
        <v>2024</v>
      </c>
      <c r="D184" s="21" t="s">
        <v>186</v>
      </c>
      <c r="E184" s="13">
        <f>[2]!Table1[[#This Row],[Qty Entrada]]-[2]!Table1[[#This Row],[Qty Salida]]</f>
        <v>0</v>
      </c>
      <c r="F184" s="2" t="s">
        <v>116</v>
      </c>
      <c r="G184" s="14">
        <f>SUMIF([2]!Table3[Código Institucional],[2]Existencia!C184:C404,[2]!Table3[Cantidad])</f>
        <v>61</v>
      </c>
      <c r="H184" s="14">
        <f>SUMIF([2]!Table2[Código Institucional],[2]Existencia!C184:C404,[2]!Table2[Cantidad])</f>
        <v>61</v>
      </c>
      <c r="I184" s="4">
        <v>225</v>
      </c>
      <c r="J184" s="16">
        <f t="shared" si="5"/>
        <v>0</v>
      </c>
      <c r="K184" s="17">
        <f t="shared" si="4"/>
        <v>0</v>
      </c>
    </row>
    <row r="185" spans="1:11" x14ac:dyDescent="0.25">
      <c r="A185" s="36"/>
      <c r="B185" s="22"/>
      <c r="C185" s="20">
        <v>2161</v>
      </c>
      <c r="D185" s="21" t="s">
        <v>187</v>
      </c>
      <c r="E185" s="13">
        <f>[2]!Table1[[#This Row],[Qty Entrada]]-[2]!Table1[[#This Row],[Qty Salida]]</f>
        <v>12</v>
      </c>
      <c r="F185" s="2" t="s">
        <v>116</v>
      </c>
      <c r="G185" s="14">
        <f>SUMIF([2]!Table3[Código Institucional],[2]Existencia!C185:C400,[2]!Table3[Cantidad])</f>
        <v>40</v>
      </c>
      <c r="H185" s="14">
        <f>SUMIF([2]!Table2[Código Institucional],[2]Existencia!C185:C400,[2]!Table2[Cantidad])</f>
        <v>28</v>
      </c>
      <c r="I185" s="4">
        <v>230</v>
      </c>
      <c r="J185" s="16">
        <f t="shared" si="5"/>
        <v>496.79999999999995</v>
      </c>
      <c r="K185" s="17">
        <f t="shared" si="4"/>
        <v>3256.8</v>
      </c>
    </row>
    <row r="186" spans="1:11" x14ac:dyDescent="0.25">
      <c r="A186" s="36"/>
      <c r="B186" s="22"/>
      <c r="C186" s="20">
        <v>2174</v>
      </c>
      <c r="D186" s="21" t="s">
        <v>288</v>
      </c>
      <c r="E186" s="13">
        <f>[2]!Table1[[#This Row],[Qty Entrada]]-[2]!Table1[[#This Row],[Qty Salida]]</f>
        <v>25</v>
      </c>
      <c r="F186" s="2" t="s">
        <v>116</v>
      </c>
      <c r="G186" s="14">
        <f>SUMIF([2]!Table3[Código Institucional],[2]Existencia!C186:C406,[2]!Table3[Cantidad])</f>
        <v>25</v>
      </c>
      <c r="H186" s="14">
        <f>SUMIF([2]!Table2[Código Institucional],[2]Existencia!C186:C406,[2]!Table2[Cantidad])</f>
        <v>0</v>
      </c>
      <c r="I186" s="4">
        <v>90</v>
      </c>
      <c r="J186" s="16">
        <f t="shared" si="5"/>
        <v>405</v>
      </c>
      <c r="K186" s="17">
        <f t="shared" si="4"/>
        <v>2655</v>
      </c>
    </row>
    <row r="187" spans="1:11" x14ac:dyDescent="0.25">
      <c r="A187" s="36"/>
      <c r="B187" s="22"/>
      <c r="C187" s="20">
        <v>2106</v>
      </c>
      <c r="D187" s="21" t="s">
        <v>188</v>
      </c>
      <c r="E187" s="13">
        <f>[2]!Table1[[#This Row],[Qty Entrada]]-[2]!Table1[[#This Row],[Qty Salida]]</f>
        <v>0</v>
      </c>
      <c r="F187" s="2" t="s">
        <v>30</v>
      </c>
      <c r="G187" s="14">
        <f>SUMIF([2]!Table3[Código Institucional],[2]Existencia!C187:C395,[2]!Table3[Cantidad])</f>
        <v>24</v>
      </c>
      <c r="H187" s="14">
        <f>SUMIF([2]!Table2[Código Institucional],[2]Existencia!C187:C395,[2]!Table2[Cantidad])</f>
        <v>24</v>
      </c>
      <c r="I187" s="4">
        <v>207</v>
      </c>
      <c r="J187" s="16">
        <f t="shared" si="5"/>
        <v>0</v>
      </c>
      <c r="K187" s="17">
        <f t="shared" si="4"/>
        <v>0</v>
      </c>
    </row>
    <row r="188" spans="1:11" x14ac:dyDescent="0.25">
      <c r="A188" s="36"/>
      <c r="B188" s="22"/>
      <c r="C188" s="20">
        <v>2160</v>
      </c>
      <c r="D188" s="21" t="s">
        <v>289</v>
      </c>
      <c r="E188" s="13">
        <f>[2]!Table1[[#This Row],[Qty Entrada]]-[2]!Table1[[#This Row],[Qty Salida]]</f>
        <v>-2</v>
      </c>
      <c r="F188" s="2" t="s">
        <v>30</v>
      </c>
      <c r="G188" s="14">
        <f>SUMIF([2]!Table3[Código Institucional],[2]Existencia!C188:C401,[2]!Table3[Cantidad])</f>
        <v>15</v>
      </c>
      <c r="H188" s="14">
        <f>SUMIF([2]!Table2[Código Institucional],[2]Existencia!C188:C401,[2]!Table2[Cantidad])</f>
        <v>17</v>
      </c>
      <c r="I188" s="4">
        <v>200</v>
      </c>
      <c r="J188" s="16">
        <f t="shared" si="5"/>
        <v>-72</v>
      </c>
      <c r="K188" s="17">
        <f t="shared" si="4"/>
        <v>-472</v>
      </c>
    </row>
    <row r="189" spans="1:11" x14ac:dyDescent="0.25">
      <c r="A189" s="36"/>
      <c r="B189" s="22"/>
      <c r="C189" s="20">
        <v>2165</v>
      </c>
      <c r="D189" s="21" t="s">
        <v>290</v>
      </c>
      <c r="E189" s="13">
        <f>[2]!Table1[[#This Row],[Qty Entrada]]-[2]!Table1[[#This Row],[Qty Salida]]</f>
        <v>20</v>
      </c>
      <c r="F189" s="2" t="s">
        <v>30</v>
      </c>
      <c r="G189" s="14">
        <f>SUMIF([2]!Table3[Código Institucional],[2]Existencia!C189:C406,[2]!Table3[Cantidad])</f>
        <v>20</v>
      </c>
      <c r="H189" s="14">
        <f>SUMIF([2]!Table2[Código Institucional],[2]Existencia!C189:C406,[2]!Table2[Cantidad])</f>
        <v>0</v>
      </c>
      <c r="I189" s="4">
        <v>120</v>
      </c>
      <c r="J189" s="16">
        <f t="shared" si="5"/>
        <v>431.99999999999994</v>
      </c>
      <c r="K189" s="17">
        <f t="shared" si="4"/>
        <v>2832</v>
      </c>
    </row>
    <row r="190" spans="1:11" x14ac:dyDescent="0.25">
      <c r="A190" s="35">
        <v>43698</v>
      </c>
      <c r="B190" s="26">
        <v>44315</v>
      </c>
      <c r="C190" s="11">
        <v>2027</v>
      </c>
      <c r="D190" s="12" t="s">
        <v>189</v>
      </c>
      <c r="E190" s="13">
        <f>[2]!Table1[[#This Row],[Qty Entrada]]-[2]!Table1[[#This Row],[Qty Salida]]</f>
        <v>0</v>
      </c>
      <c r="F190" s="2" t="s">
        <v>116</v>
      </c>
      <c r="G190" s="14">
        <f>SUMIF([2]!Table3[Código Institucional],[2]Existencia!C190:C472,[2]!Table3[Cantidad])</f>
        <v>22</v>
      </c>
      <c r="H190" s="14">
        <f>SUMIF([2]!Table2[Código Institucional],[2]Existencia!C190:C472,[2]!Table2[Cantidad])</f>
        <v>22</v>
      </c>
      <c r="I190" s="4">
        <v>138</v>
      </c>
      <c r="J190" s="16">
        <f t="shared" si="5"/>
        <v>0</v>
      </c>
      <c r="K190" s="17">
        <f t="shared" si="4"/>
        <v>0</v>
      </c>
    </row>
    <row r="191" spans="1:11" x14ac:dyDescent="0.25">
      <c r="A191" s="36"/>
      <c r="B191" s="22"/>
      <c r="C191" s="20">
        <v>2109</v>
      </c>
      <c r="D191" s="21" t="s">
        <v>190</v>
      </c>
      <c r="E191" s="13">
        <f>[2]!Table1[[#This Row],[Qty Entrada]]-[2]!Table1[[#This Row],[Qty Salida]]</f>
        <v>11</v>
      </c>
      <c r="F191" s="2" t="s">
        <v>116</v>
      </c>
      <c r="G191" s="14">
        <f>SUMIF([2]!Table3[Código Institucional],[2]Existencia!C191:C397,[2]!Table3[Cantidad])</f>
        <v>72</v>
      </c>
      <c r="H191" s="14">
        <f>SUMIF([2]!Table2[Código Institucional],[2]Existencia!C191:C397,[2]!Table2[Cantidad])</f>
        <v>61</v>
      </c>
      <c r="I191" s="4">
        <v>110</v>
      </c>
      <c r="J191" s="16">
        <f>I191*18%*E191</f>
        <v>217.8</v>
      </c>
      <c r="K191" s="17">
        <f>E191*I191+J191</f>
        <v>1427.8</v>
      </c>
    </row>
    <row r="192" spans="1:11" x14ac:dyDescent="0.25">
      <c r="A192" s="36"/>
      <c r="B192" s="22"/>
      <c r="C192" s="20">
        <v>2175</v>
      </c>
      <c r="D192" s="21" t="s">
        <v>291</v>
      </c>
      <c r="E192" s="13">
        <f>[2]!Table1[[#This Row],[Qty Entrada]]-[2]!Table1[[#This Row],[Qty Salida]]</f>
        <v>25</v>
      </c>
      <c r="F192" s="2" t="s">
        <v>116</v>
      </c>
      <c r="G192" s="14">
        <f>SUMIF([2]!Table3[Código Institucional],[2]Existencia!C192:C412,[2]!Table3[Cantidad])</f>
        <v>25</v>
      </c>
      <c r="H192" s="14">
        <f>SUMIF([2]!Table2[Código Institucional],[2]Existencia!C192:C412,[2]!Table2[Cantidad])</f>
        <v>0</v>
      </c>
      <c r="I192" s="4">
        <v>87</v>
      </c>
      <c r="J192" s="16">
        <f>I192*18%*E192</f>
        <v>391.5</v>
      </c>
      <c r="K192" s="17">
        <f>E192*I192+J192</f>
        <v>2566.5</v>
      </c>
    </row>
    <row r="193" spans="1:20" x14ac:dyDescent="0.25">
      <c r="A193" s="36">
        <v>43698</v>
      </c>
      <c r="B193" s="19">
        <v>44687</v>
      </c>
      <c r="C193" s="30">
        <v>2028</v>
      </c>
      <c r="D193" s="25" t="s">
        <v>191</v>
      </c>
      <c r="E193" s="13">
        <f>[2]!Table1[[#This Row],[Qty Entrada]]-[2]!Table1[[#This Row],[Qty Salida]]</f>
        <v>0</v>
      </c>
      <c r="F193" s="2" t="s">
        <v>116</v>
      </c>
      <c r="G193" s="14">
        <f>SUMIF([2]!Table3[Código Institucional],[2]Existencia!C193:C473,[2]!Table3[Cantidad])</f>
        <v>40</v>
      </c>
      <c r="H193" s="14">
        <f>SUMIF([2]!Table2[Código Institucional],[2]Existencia!C193:C473,[2]!Table2[Cantidad])</f>
        <v>40</v>
      </c>
      <c r="I193" s="4">
        <v>75</v>
      </c>
      <c r="J193" s="16">
        <f t="shared" si="5"/>
        <v>0</v>
      </c>
      <c r="K193" s="17">
        <f t="shared" si="4"/>
        <v>0</v>
      </c>
    </row>
    <row r="194" spans="1:20" x14ac:dyDescent="0.25">
      <c r="A194" s="36"/>
      <c r="B194" s="19"/>
      <c r="C194" s="20">
        <v>2111</v>
      </c>
      <c r="D194" s="21" t="s">
        <v>192</v>
      </c>
      <c r="E194" s="13">
        <f>[2]!Table1[[#This Row],[Qty Entrada]]-[2]!Table1[[#This Row],[Qty Salida]]</f>
        <v>0</v>
      </c>
      <c r="F194" s="2" t="s">
        <v>116</v>
      </c>
      <c r="G194" s="14">
        <f>SUMIF([2]!Table3[Código Institucional],[2]Existencia!C194:C399,[2]!Table3[Cantidad])</f>
        <v>30</v>
      </c>
      <c r="H194" s="14">
        <f>SUMIF([2]!Table2[Código Institucional],[2]Existencia!C194:C399,[2]!Table2[Cantidad])</f>
        <v>30</v>
      </c>
      <c r="I194" s="4">
        <v>120</v>
      </c>
      <c r="J194" s="16">
        <f>I194*18%*E194</f>
        <v>0</v>
      </c>
      <c r="K194" s="17">
        <f>E194*I194+J194</f>
        <v>0</v>
      </c>
    </row>
    <row r="195" spans="1:20" x14ac:dyDescent="0.25">
      <c r="A195" s="36"/>
      <c r="B195" s="19"/>
      <c r="C195" s="20">
        <v>2144</v>
      </c>
      <c r="D195" s="21" t="s">
        <v>193</v>
      </c>
      <c r="E195" s="13">
        <f>[2]!Table1[[#This Row],[Qty Entrada]]-[2]!Table1[[#This Row],[Qty Salida]]</f>
        <v>9</v>
      </c>
      <c r="F195" s="2" t="s">
        <v>116</v>
      </c>
      <c r="G195" s="14">
        <f>SUMIF([2]!Table3[Código Institucional],[2]Existencia!C195:C409,[2]!Table3[Cantidad])</f>
        <v>15</v>
      </c>
      <c r="H195" s="14">
        <f>SUMIF([2]!Table2[Código Institucional],[2]Existencia!C195:C409,[2]!Table2[Cantidad])</f>
        <v>6</v>
      </c>
      <c r="I195" s="4">
        <v>115</v>
      </c>
      <c r="J195" s="16">
        <f>I195*18%*E195</f>
        <v>186.29999999999998</v>
      </c>
      <c r="K195" s="17">
        <f>E195*I195+J195</f>
        <v>1221.3</v>
      </c>
    </row>
    <row r="196" spans="1:20" x14ac:dyDescent="0.25">
      <c r="A196" s="36"/>
      <c r="B196" s="19"/>
      <c r="C196" s="20">
        <v>2172</v>
      </c>
      <c r="D196" s="21" t="s">
        <v>292</v>
      </c>
      <c r="E196" s="13">
        <f>[2]!Table1[[#This Row],[Qty Entrada]]-[2]!Table1[[#This Row],[Qty Salida]]</f>
        <v>20</v>
      </c>
      <c r="F196" s="2" t="s">
        <v>116</v>
      </c>
      <c r="G196" s="14">
        <f>SUMIF([2]!Table3[Código Institucional],[2]Existencia!C196:C415,[2]!Table3[Cantidad])</f>
        <v>20</v>
      </c>
      <c r="H196" s="14">
        <f>SUMIF([2]!Table2[Código Institucional],[2]Existencia!C196:C415,[2]!Table2[Cantidad])</f>
        <v>0</v>
      </c>
      <c r="I196" s="4">
        <v>98</v>
      </c>
      <c r="J196" s="16">
        <f>I196*18%*E196</f>
        <v>352.8</v>
      </c>
      <c r="K196" s="17">
        <f>E196*I196+J196</f>
        <v>2312.8000000000002</v>
      </c>
    </row>
    <row r="197" spans="1:20" x14ac:dyDescent="0.25">
      <c r="A197" s="35">
        <v>43698</v>
      </c>
      <c r="B197" s="10">
        <v>44687</v>
      </c>
      <c r="C197" s="11">
        <v>2030</v>
      </c>
      <c r="D197" s="12" t="s">
        <v>194</v>
      </c>
      <c r="E197" s="13">
        <f>[2]!Table1[[#This Row],[Qty Entrada]]-[2]!Table1[[#This Row],[Qty Salida]]</f>
        <v>1</v>
      </c>
      <c r="F197" s="2" t="s">
        <v>24</v>
      </c>
      <c r="G197" s="14">
        <f>SUMIF([2]!Table3[Código Institucional],[2]Existencia!C197:C475,[2]!Table3[Cantidad])</f>
        <v>4</v>
      </c>
      <c r="H197" s="14">
        <f>SUMIF([2]!Table2[Código Institucional],[2]Existencia!C197:C475,[2]!Table2[Cantidad])</f>
        <v>3</v>
      </c>
      <c r="I197" s="4">
        <v>160</v>
      </c>
      <c r="J197" s="16">
        <f t="shared" ref="J197:J237" si="6">I197*18%*E197</f>
        <v>28.799999999999997</v>
      </c>
      <c r="K197" s="17">
        <f t="shared" si="4"/>
        <v>188.8</v>
      </c>
    </row>
    <row r="198" spans="1:20" x14ac:dyDescent="0.25">
      <c r="A198" s="36"/>
      <c r="B198" s="19"/>
      <c r="C198" s="20">
        <v>2155</v>
      </c>
      <c r="D198" s="21" t="s">
        <v>195</v>
      </c>
      <c r="E198" s="13">
        <f>[2]!Table1[[#This Row],[Qty Entrada]]-[2]!Table1[[#This Row],[Qty Salida]]</f>
        <v>15</v>
      </c>
      <c r="F198" s="2" t="s">
        <v>24</v>
      </c>
      <c r="G198" s="14">
        <f>SUMIF([2]!Table3[Código Institucional],[2]Existencia!C198:C407,[2]!Table3[Cantidad])</f>
        <v>15</v>
      </c>
      <c r="H198" s="14">
        <f>SUMIF([2]!Table2[Código Institucional],[2]Existencia!C198:C407,[2]!Table2[Cantidad])</f>
        <v>0</v>
      </c>
      <c r="I198" s="4">
        <v>233</v>
      </c>
      <c r="J198" s="16">
        <f>I198*18%*E198</f>
        <v>629.09999999999991</v>
      </c>
      <c r="K198" s="17">
        <f>E198*I198+J198</f>
        <v>4124.1000000000004</v>
      </c>
    </row>
    <row r="199" spans="1:20" x14ac:dyDescent="0.25">
      <c r="A199" s="36">
        <v>43698</v>
      </c>
      <c r="B199" s="19">
        <v>44687</v>
      </c>
      <c r="C199" s="11">
        <v>2031</v>
      </c>
      <c r="D199" s="12" t="s">
        <v>196</v>
      </c>
      <c r="E199" s="13">
        <f>[2]!Table1[[#This Row],[Qty Entrada]]-[2]!Table1[[#This Row],[Qty Salida]]</f>
        <v>0</v>
      </c>
      <c r="F199" s="2" t="s">
        <v>24</v>
      </c>
      <c r="G199" s="14">
        <f>SUMIF([2]!Table3[Código Institucional],[2]Existencia!C199:C476,[2]!Table3[Cantidad])</f>
        <v>4</v>
      </c>
      <c r="H199" s="14">
        <f>SUMIF([2]!Table2[Código Institucional],[2]Existencia!C199:C476,[2]!Table2[Cantidad])</f>
        <v>4</v>
      </c>
      <c r="I199" s="4">
        <v>293</v>
      </c>
      <c r="J199" s="16">
        <f t="shared" si="6"/>
        <v>0</v>
      </c>
      <c r="K199" s="17">
        <f t="shared" si="4"/>
        <v>0</v>
      </c>
    </row>
    <row r="200" spans="1:20" x14ac:dyDescent="0.25">
      <c r="A200" s="36"/>
      <c r="B200" s="19"/>
      <c r="C200" s="20">
        <v>2104</v>
      </c>
      <c r="D200" s="21" t="s">
        <v>197</v>
      </c>
      <c r="E200" s="13">
        <f>[2]!Table1[[#This Row],[Qty Entrada]]-[2]!Table1[[#This Row],[Qty Salida]]</f>
        <v>2</v>
      </c>
      <c r="F200" s="2" t="s">
        <v>24</v>
      </c>
      <c r="G200" s="14">
        <f>SUMIF([2]!Table3[Código Institucional],[2]Existencia!C200:C400,[2]!Table3[Cantidad])</f>
        <v>4</v>
      </c>
      <c r="H200" s="14">
        <f>SUMIF([2]!Table2[Código Institucional],[2]Existencia!C200:C400,[2]!Table2[Cantidad])</f>
        <v>2</v>
      </c>
      <c r="I200" s="4">
        <v>377</v>
      </c>
      <c r="J200" s="16">
        <f>I200*18%*E200</f>
        <v>135.72</v>
      </c>
      <c r="K200" s="17">
        <f>E200*I200+J200</f>
        <v>889.72</v>
      </c>
    </row>
    <row r="201" spans="1:20" x14ac:dyDescent="0.25">
      <c r="A201" s="36"/>
      <c r="B201" s="19"/>
      <c r="C201" s="20">
        <v>2158</v>
      </c>
      <c r="D201" s="21" t="s">
        <v>198</v>
      </c>
      <c r="E201" s="13">
        <f>[2]!Table1[[#This Row],[Qty Entrada]]-[2]!Table1[[#This Row],[Qty Salida]]</f>
        <v>4</v>
      </c>
      <c r="F201" s="2" t="s">
        <v>24</v>
      </c>
      <c r="G201" s="14">
        <f>SUMIF([2]!Table3[Código Institucional],[2]Existencia!C201:C411,[2]!Table3[Cantidad])</f>
        <v>4</v>
      </c>
      <c r="H201" s="14">
        <f>SUMIF([2]!Table2[Código Institucional],[2]Existencia!C201:C411,[2]!Table2[Cantidad])</f>
        <v>0</v>
      </c>
      <c r="I201" s="4">
        <v>385</v>
      </c>
      <c r="J201" s="16">
        <f>I201*18%*E201</f>
        <v>277.2</v>
      </c>
      <c r="K201" s="17">
        <f>E201*I201+J201</f>
        <v>1817.2</v>
      </c>
    </row>
    <row r="202" spans="1:20" x14ac:dyDescent="0.25">
      <c r="A202" s="35">
        <v>43698</v>
      </c>
      <c r="B202" s="10">
        <v>44687</v>
      </c>
      <c r="C202" s="11">
        <v>2032</v>
      </c>
      <c r="D202" s="12" t="s">
        <v>199</v>
      </c>
      <c r="E202" s="13">
        <f>[2]!Table1[[#This Row],[Qty Entrada]]-[2]!Table1[[#This Row],[Qty Salida]]</f>
        <v>0</v>
      </c>
      <c r="F202" s="2" t="s">
        <v>116</v>
      </c>
      <c r="G202" s="14">
        <f>SUMIF([2]!Table3[Código Institucional],[2]Existencia!C202:C477,[2]!Table3[Cantidad])</f>
        <v>32</v>
      </c>
      <c r="H202" s="14">
        <f>SUMIF([2]!Table2[Código Institucional],[2]Existencia!C202:C477,[2]!Table2[Cantidad])</f>
        <v>32</v>
      </c>
      <c r="I202" s="4">
        <v>105</v>
      </c>
      <c r="J202" s="16">
        <f t="shared" si="6"/>
        <v>0</v>
      </c>
      <c r="K202" s="17">
        <f t="shared" ref="K202:K237" si="7">E202*I202+J202</f>
        <v>0</v>
      </c>
    </row>
    <row r="203" spans="1:20" x14ac:dyDescent="0.25">
      <c r="A203" s="36"/>
      <c r="B203" s="19"/>
      <c r="C203" s="20">
        <v>2110</v>
      </c>
      <c r="D203" s="21" t="s">
        <v>200</v>
      </c>
      <c r="E203" s="13">
        <f>[2]!Table1[[#This Row],[Qty Entrada]]-[2]!Table1[[#This Row],[Qty Salida]]</f>
        <v>6</v>
      </c>
      <c r="F203" s="2" t="s">
        <v>116</v>
      </c>
      <c r="G203" s="14">
        <f>SUMIF([2]!Table3[Código Institucional],[2]Existencia!C203:C403,[2]!Table3[Cantidad])</f>
        <v>20</v>
      </c>
      <c r="H203" s="14">
        <f>SUMIF([2]!Table2[Código Institucional],[2]Existencia!C203:C403,[2]!Table2[Cantidad])</f>
        <v>14</v>
      </c>
      <c r="I203" s="4">
        <v>79</v>
      </c>
      <c r="J203" s="16">
        <f>I203*18%*E203</f>
        <v>85.32</v>
      </c>
      <c r="K203" s="17">
        <f>E203*I203+J203</f>
        <v>559.31999999999994</v>
      </c>
      <c r="S203" s="5"/>
      <c r="T203" s="5"/>
    </row>
    <row r="204" spans="1:20" x14ac:dyDescent="0.25">
      <c r="A204" s="36"/>
      <c r="B204" s="19"/>
      <c r="C204" s="20">
        <v>2143</v>
      </c>
      <c r="D204" s="21" t="s">
        <v>201</v>
      </c>
      <c r="E204" s="13">
        <f>[2]!Table1[[#This Row],[Qty Entrada]]-[2]!Table1[[#This Row],[Qty Salida]]</f>
        <v>40</v>
      </c>
      <c r="F204" s="2" t="s">
        <v>116</v>
      </c>
      <c r="G204" s="14">
        <f>SUMIF([2]!Table3[Código Institucional],[2]Existencia!C204:C414,[2]!Table3[Cantidad])</f>
        <v>40</v>
      </c>
      <c r="H204" s="14">
        <f>SUMIF([2]!Table2[Código Institucional],[2]Existencia!C204:C414,[2]!Table2[Cantidad])</f>
        <v>0</v>
      </c>
      <c r="I204" s="4">
        <v>58</v>
      </c>
      <c r="J204" s="16">
        <f>I204*18%*E204</f>
        <v>417.59999999999997</v>
      </c>
      <c r="K204" s="17">
        <f>E204*I204+J204</f>
        <v>2737.6</v>
      </c>
      <c r="S204" s="5"/>
      <c r="T204" s="5"/>
    </row>
    <row r="205" spans="1:20" x14ac:dyDescent="0.25">
      <c r="A205" s="36">
        <v>43698</v>
      </c>
      <c r="B205" s="19">
        <v>44687</v>
      </c>
      <c r="C205" s="11">
        <v>2034</v>
      </c>
      <c r="D205" s="12" t="s">
        <v>202</v>
      </c>
      <c r="E205" s="13">
        <f>[2]!Table1[[#This Row],[Qty Entrada]]-[2]!Table1[[#This Row],[Qty Salida]]</f>
        <v>10</v>
      </c>
      <c r="F205" s="2" t="s">
        <v>160</v>
      </c>
      <c r="G205" s="14">
        <f>SUMIF([2]!Table3[Código Institucional],[2]Existencia!C205:C479,[2]!Table3[Cantidad])</f>
        <v>20</v>
      </c>
      <c r="H205" s="14">
        <f>SUMIF([2]!Table2[Código Institucional],[2]Existencia!C205:C479,[2]!Table2[Cantidad])</f>
        <v>10</v>
      </c>
      <c r="I205" s="4">
        <v>80</v>
      </c>
      <c r="J205" s="16">
        <f t="shared" si="6"/>
        <v>144</v>
      </c>
      <c r="K205" s="17">
        <f t="shared" si="7"/>
        <v>944</v>
      </c>
      <c r="S205" s="5"/>
      <c r="T205" s="5"/>
    </row>
    <row r="206" spans="1:20" x14ac:dyDescent="0.25">
      <c r="A206" s="35">
        <v>43698</v>
      </c>
      <c r="B206" s="10">
        <v>44687</v>
      </c>
      <c r="C206" s="11">
        <v>2035</v>
      </c>
      <c r="D206" s="12" t="s">
        <v>203</v>
      </c>
      <c r="E206" s="13">
        <f>[2]!Table1[[#This Row],[Qty Entrada]]-[2]!Table1[[#This Row],[Qty Salida]]</f>
        <v>3</v>
      </c>
      <c r="F206" s="2" t="s">
        <v>116</v>
      </c>
      <c r="G206" s="14">
        <f>SUMIF([2]!Table3[Código Institucional],[2]Existencia!C206:C480,[2]!Table3[Cantidad])</f>
        <v>14</v>
      </c>
      <c r="H206" s="14">
        <f>SUMIF([2]!Table2[Código Institucional],[2]Existencia!C206:C480,[2]!Table2[Cantidad])</f>
        <v>11</v>
      </c>
      <c r="I206" s="4">
        <v>455</v>
      </c>
      <c r="J206" s="16">
        <f t="shared" si="6"/>
        <v>245.7</v>
      </c>
      <c r="K206" s="17">
        <f t="shared" si="7"/>
        <v>1610.7</v>
      </c>
      <c r="P206" s="37"/>
    </row>
    <row r="207" spans="1:20" x14ac:dyDescent="0.25">
      <c r="A207" s="36"/>
      <c r="B207" s="19"/>
      <c r="C207" s="20">
        <v>2112</v>
      </c>
      <c r="D207" s="21" t="s">
        <v>204</v>
      </c>
      <c r="E207" s="13">
        <f>[2]!Table1[[#This Row],[Qty Entrada]]-[2]!Table1[[#This Row],[Qty Salida]]</f>
        <v>15</v>
      </c>
      <c r="F207" s="2" t="s">
        <v>116</v>
      </c>
      <c r="G207" s="14">
        <f>SUMIF([2]!Table3[Código Institucional],[2]Existencia!C207:C407,[2]!Table3[Cantidad])</f>
        <v>15</v>
      </c>
      <c r="H207" s="14">
        <f>SUMIF([2]!Table2[Código Institucional],[2]Existencia!C207:C407,[2]!Table2[Cantidad])</f>
        <v>0</v>
      </c>
      <c r="I207" s="4">
        <v>191</v>
      </c>
      <c r="J207" s="16">
        <f>I207*18%*E207</f>
        <v>515.69999999999993</v>
      </c>
      <c r="K207" s="17">
        <f>E207*I207+J207</f>
        <v>3380.7</v>
      </c>
      <c r="P207" s="37"/>
    </row>
    <row r="208" spans="1:20" x14ac:dyDescent="0.25">
      <c r="A208" s="36"/>
      <c r="B208" s="19"/>
      <c r="C208" s="20">
        <v>2145</v>
      </c>
      <c r="D208" s="21" t="s">
        <v>205</v>
      </c>
      <c r="E208" s="13">
        <f>[2]!Table1[[#This Row],[Qty Entrada]]-[2]!Table1[[#This Row],[Qty Salida]]</f>
        <v>5</v>
      </c>
      <c r="F208" s="2" t="s">
        <v>116</v>
      </c>
      <c r="G208" s="14">
        <f>SUMIF([2]!Table3[Código Institucional],[2]Existencia!C208:C419,[2]!Table3[Cantidad])</f>
        <v>5</v>
      </c>
      <c r="H208" s="14">
        <f>SUMIF([2]!Table2[Código Institucional],[2]Existencia!C208:C419,[2]!Table2[Cantidad])</f>
        <v>0</v>
      </c>
      <c r="I208" s="4">
        <v>299</v>
      </c>
      <c r="J208" s="16">
        <f>I208*18%*E208</f>
        <v>269.10000000000002</v>
      </c>
      <c r="K208" s="17">
        <f>E208*I208+J208</f>
        <v>1764.1</v>
      </c>
      <c r="P208" s="37"/>
    </row>
    <row r="209" spans="1:16" x14ac:dyDescent="0.25">
      <c r="A209" s="36">
        <v>43698</v>
      </c>
      <c r="B209" s="19">
        <v>44687</v>
      </c>
      <c r="C209" s="11">
        <v>2037</v>
      </c>
      <c r="D209" s="12" t="s">
        <v>206</v>
      </c>
      <c r="E209" s="13">
        <f>[2]!Table1[[#This Row],[Qty Entrada]]-[2]!Table1[[#This Row],[Qty Salida]]</f>
        <v>0</v>
      </c>
      <c r="F209" s="2" t="s">
        <v>160</v>
      </c>
      <c r="G209" s="14">
        <f>SUMIF([2]!Table3[Código Institucional],[2]Existencia!C209:C482,[2]!Table3[Cantidad])</f>
        <v>12</v>
      </c>
      <c r="H209" s="14">
        <f>SUMIF([2]!Table2[Código Institucional],[2]Existencia!C209:C482,[2]!Table2[Cantidad])</f>
        <v>12</v>
      </c>
      <c r="I209" s="4">
        <v>160</v>
      </c>
      <c r="J209" s="16">
        <f t="shared" si="6"/>
        <v>0</v>
      </c>
      <c r="K209" s="17">
        <f t="shared" si="7"/>
        <v>0</v>
      </c>
      <c r="P209" s="37"/>
    </row>
    <row r="210" spans="1:16" x14ac:dyDescent="0.25">
      <c r="A210" s="36"/>
      <c r="B210" s="19"/>
      <c r="C210" s="20">
        <v>2113</v>
      </c>
      <c r="D210" s="21" t="s">
        <v>207</v>
      </c>
      <c r="E210" s="13">
        <f>[2]!Table1[[#This Row],[Qty Entrada]]-[2]!Table1[[#This Row],[Qty Salida]]</f>
        <v>8</v>
      </c>
      <c r="F210" s="2" t="s">
        <v>160</v>
      </c>
      <c r="G210" s="14">
        <f>SUMIF([2]!Table3[Código Institucional],[2]Existencia!C210:C409,[2]!Table3[Cantidad])</f>
        <v>15</v>
      </c>
      <c r="H210" s="14">
        <f>SUMIF([2]!Table2[Código Institucional],[2]Existencia!C210:C409,[2]!Table2[Cantidad])</f>
        <v>7</v>
      </c>
      <c r="I210" s="4">
        <v>330</v>
      </c>
      <c r="J210" s="16">
        <f>I210*18%*E210</f>
        <v>475.2</v>
      </c>
      <c r="K210" s="17">
        <f>E210*I210+J210</f>
        <v>3115.2</v>
      </c>
      <c r="P210" s="37"/>
    </row>
    <row r="211" spans="1:16" x14ac:dyDescent="0.25">
      <c r="A211" s="36"/>
      <c r="B211" s="19"/>
      <c r="C211" s="20">
        <v>2146</v>
      </c>
      <c r="D211" s="21" t="s">
        <v>208</v>
      </c>
      <c r="E211" s="13">
        <f>[2]!Table1[[#This Row],[Qty Entrada]]-[2]!Table1[[#This Row],[Qty Salida]]</f>
        <v>10</v>
      </c>
      <c r="F211" s="2" t="s">
        <v>160</v>
      </c>
      <c r="G211" s="14">
        <f>SUMIF([2]!Table3[Código Institucional],[2]Existencia!C211:C422,[2]!Table3[Cantidad])</f>
        <v>10</v>
      </c>
      <c r="H211" s="14">
        <f>SUMIF([2]!Table2[Código Institucional],[2]Existencia!C211:C422,[2]!Table2[Cantidad])</f>
        <v>0</v>
      </c>
      <c r="I211" s="4">
        <v>325</v>
      </c>
      <c r="J211" s="16">
        <f>I211*18%*E211</f>
        <v>585</v>
      </c>
      <c r="K211" s="17">
        <f>E211*I211+J211</f>
        <v>3835</v>
      </c>
      <c r="O211" s="38"/>
    </row>
    <row r="212" spans="1:16" x14ac:dyDescent="0.25">
      <c r="A212" s="36"/>
      <c r="B212" s="19"/>
      <c r="C212" s="20">
        <v>2171</v>
      </c>
      <c r="D212" s="21" t="s">
        <v>293</v>
      </c>
      <c r="E212" s="13">
        <f>[2]!Table1[[#This Row],[Qty Entrada]]-[2]!Table1[[#This Row],[Qty Salida]]</f>
        <v>5</v>
      </c>
      <c r="F212" s="2" t="s">
        <v>160</v>
      </c>
      <c r="G212" s="14">
        <f>SUMIF([2]!Table3[Código Institucional],[2]Existencia!C212:C430,[2]!Table3[Cantidad])</f>
        <v>5</v>
      </c>
      <c r="H212" s="14">
        <f>SUMIF([2]!Table2[Código Institucional],[2]Existencia!C212:C430,[2]!Table2[Cantidad])</f>
        <v>0</v>
      </c>
      <c r="I212" s="4">
        <v>295</v>
      </c>
      <c r="J212" s="16">
        <f>I212*18%*E212</f>
        <v>265.5</v>
      </c>
      <c r="K212" s="17">
        <f>E212*I212+J212</f>
        <v>1740.5</v>
      </c>
      <c r="O212" s="38"/>
    </row>
    <row r="213" spans="1:16" x14ac:dyDescent="0.25">
      <c r="A213" s="9">
        <v>44687</v>
      </c>
      <c r="B213" s="19">
        <v>44687</v>
      </c>
      <c r="C213" s="11">
        <v>2038</v>
      </c>
      <c r="D213" s="12" t="s">
        <v>209</v>
      </c>
      <c r="E213" s="13">
        <f>[2]!Table1[[#This Row],[Qty Entrada]]-[2]!Table1[[#This Row],[Qty Salida]]</f>
        <v>0</v>
      </c>
      <c r="F213" s="2" t="s">
        <v>24</v>
      </c>
      <c r="G213" s="14">
        <f>SUMIF([2]!Table3[Código Institucional],[2]Existencia!C213:C483,[2]!Table3[Cantidad])</f>
        <v>12</v>
      </c>
      <c r="H213" s="14">
        <f>SUMIF([2]!Table2[Código Institucional],[2]Existencia!C213:C483,[2]!Table2[Cantidad])</f>
        <v>12</v>
      </c>
      <c r="I213" s="4">
        <v>215</v>
      </c>
      <c r="J213" s="16">
        <f t="shared" si="6"/>
        <v>0</v>
      </c>
      <c r="K213" s="17">
        <f t="shared" si="7"/>
        <v>0</v>
      </c>
    </row>
    <row r="214" spans="1:16" x14ac:dyDescent="0.25">
      <c r="A214" s="18"/>
      <c r="B214" s="19"/>
      <c r="C214" s="20">
        <v>2118</v>
      </c>
      <c r="D214" s="21" t="s">
        <v>210</v>
      </c>
      <c r="E214" s="13">
        <f>[2]!Table1[[#This Row],[Qty Entrada]]-[2]!Table1[[#This Row],[Qty Salida]]</f>
        <v>7</v>
      </c>
      <c r="F214" s="2" t="s">
        <v>24</v>
      </c>
      <c r="G214" s="14">
        <f>SUMIF([2]!Table3[Código Institucional],[2]Existencia!C214:C407,[2]!Table3[Cantidad])</f>
        <v>15</v>
      </c>
      <c r="H214" s="14">
        <f>SUMIF([2]!Table2[Código Institucional],[2]Existencia!C214:C407,[2]!Table2[Cantidad])</f>
        <v>8</v>
      </c>
      <c r="I214" s="4">
        <v>230</v>
      </c>
      <c r="J214" s="16">
        <f>I214*18%*E214</f>
        <v>289.8</v>
      </c>
      <c r="K214" s="17">
        <f>E214*I214+J214</f>
        <v>1899.8</v>
      </c>
    </row>
    <row r="215" spans="1:16" x14ac:dyDescent="0.25">
      <c r="A215" s="18"/>
      <c r="B215" s="19"/>
      <c r="C215" s="20">
        <v>2148</v>
      </c>
      <c r="D215" s="21" t="s">
        <v>211</v>
      </c>
      <c r="E215" s="13">
        <f>[2]!Table1[[#This Row],[Qty Entrada]]-[2]!Table1[[#This Row],[Qty Salida]]</f>
        <v>15</v>
      </c>
      <c r="F215" s="2" t="s">
        <v>24</v>
      </c>
      <c r="G215" s="14">
        <f>SUMIF([2]!Table3[Código Institucional],[2]Existencia!C215:C424,[2]!Table3[Cantidad])</f>
        <v>15</v>
      </c>
      <c r="H215" s="14">
        <f>SUMIF([2]!Table2[Código Institucional],[2]Existencia!C215:C424,[2]!Table2[Cantidad])</f>
        <v>0</v>
      </c>
      <c r="I215" s="4">
        <v>270</v>
      </c>
      <c r="J215" s="16">
        <f>I215*18%*E215</f>
        <v>729</v>
      </c>
      <c r="K215" s="17">
        <f>E215*I215+J215</f>
        <v>4779</v>
      </c>
    </row>
    <row r="216" spans="1:16" x14ac:dyDescent="0.25">
      <c r="A216" s="34">
        <v>44312</v>
      </c>
      <c r="B216" s="19">
        <v>44687</v>
      </c>
      <c r="C216" s="11">
        <v>2039</v>
      </c>
      <c r="D216" s="12" t="s">
        <v>212</v>
      </c>
      <c r="E216" s="13">
        <f>[2]!Table1[[#This Row],[Qty Entrada]]-[2]!Table1[[#This Row],[Qty Salida]]</f>
        <v>0</v>
      </c>
      <c r="F216" s="2" t="s">
        <v>24</v>
      </c>
      <c r="G216" s="14">
        <f>SUMIF([2]!Table3[Código Institucional],[2]Existencia!C216:C484,[2]!Table3[Cantidad])</f>
        <v>8</v>
      </c>
      <c r="H216" s="14">
        <f>SUMIF([2]!Table2[Código Institucional],[2]Existencia!C216:C484,[2]!Table2[Cantidad])</f>
        <v>8</v>
      </c>
      <c r="I216" s="4">
        <v>66</v>
      </c>
      <c r="J216" s="16">
        <f t="shared" si="6"/>
        <v>0</v>
      </c>
      <c r="K216" s="17">
        <f t="shared" si="7"/>
        <v>0</v>
      </c>
    </row>
    <row r="217" spans="1:16" x14ac:dyDescent="0.25">
      <c r="A217" s="34"/>
      <c r="B217" s="19"/>
      <c r="C217" s="20">
        <v>2119</v>
      </c>
      <c r="D217" s="21" t="s">
        <v>213</v>
      </c>
      <c r="E217" s="13">
        <f>[2]!Table1[[#This Row],[Qty Entrada]]-[2]!Table1[[#This Row],[Qty Salida]]</f>
        <v>9</v>
      </c>
      <c r="F217" s="2" t="s">
        <v>24</v>
      </c>
      <c r="G217" s="14">
        <f>SUMIF([2]!Table3[Código Institucional],[2]Existencia!C217:C409,[2]!Table3[Cantidad])</f>
        <v>12</v>
      </c>
      <c r="H217" s="14">
        <f>SUMIF([2]!Table2[Código Institucional],[2]Existencia!C217:C409,[2]!Table2[Cantidad])</f>
        <v>3</v>
      </c>
      <c r="I217" s="4">
        <v>105</v>
      </c>
      <c r="J217" s="16">
        <f>I217*18%*E217</f>
        <v>170.1</v>
      </c>
      <c r="K217" s="17">
        <f>E217*I217+J217</f>
        <v>1115.0999999999999</v>
      </c>
    </row>
    <row r="218" spans="1:16" x14ac:dyDescent="0.25">
      <c r="A218" s="34"/>
      <c r="B218" s="19"/>
      <c r="C218" s="20">
        <v>2149</v>
      </c>
      <c r="D218" s="21" t="s">
        <v>214</v>
      </c>
      <c r="E218" s="13">
        <f>[2]!Table1[[#This Row],[Qty Entrada]]-[2]!Table1[[#This Row],[Qty Salida]]</f>
        <v>12</v>
      </c>
      <c r="F218" s="2" t="s">
        <v>24</v>
      </c>
      <c r="G218" s="14">
        <f>SUMIF([2]!Table3[Código Institucional],[2]Existencia!C218:C427,[2]!Table3[Cantidad])</f>
        <v>12</v>
      </c>
      <c r="H218" s="14">
        <f>SUMIF([2]!Table2[Código Institucional],[2]Existencia!C218:C427,[2]!Table2[Cantidad])</f>
        <v>0</v>
      </c>
      <c r="I218" s="4">
        <v>80</v>
      </c>
      <c r="J218" s="16">
        <f>I218*18%*E218</f>
        <v>172.79999999999998</v>
      </c>
      <c r="K218" s="17">
        <f>E218*I218+J218</f>
        <v>1132.8</v>
      </c>
    </row>
    <row r="219" spans="1:16" x14ac:dyDescent="0.25">
      <c r="A219" s="35">
        <v>43698</v>
      </c>
      <c r="B219" s="10">
        <v>44687</v>
      </c>
      <c r="C219" s="11">
        <v>2040</v>
      </c>
      <c r="D219" s="12" t="s">
        <v>215</v>
      </c>
      <c r="E219" s="13">
        <f>[2]!Table1[[#This Row],[Qty Entrada]]-[2]!Table1[[#This Row],[Qty Salida]]</f>
        <v>4</v>
      </c>
      <c r="F219" s="2" t="s">
        <v>24</v>
      </c>
      <c r="G219" s="14">
        <f>SUMIF([2]!Table3[Código Institucional],[2]Existencia!C219:C485,[2]!Table3[Cantidad])</f>
        <v>29</v>
      </c>
      <c r="H219" s="14">
        <f>SUMIF([2]!Table2[Código Institucional],[2]Existencia!C219:C485,[2]!Table2[Cantidad])</f>
        <v>25</v>
      </c>
      <c r="I219" s="4">
        <v>190</v>
      </c>
      <c r="J219" s="16">
        <f t="shared" si="6"/>
        <v>136.79999999999998</v>
      </c>
      <c r="K219" s="17">
        <f t="shared" si="7"/>
        <v>896.8</v>
      </c>
    </row>
    <row r="220" spans="1:16" x14ac:dyDescent="0.25">
      <c r="A220" s="36"/>
      <c r="B220" s="19"/>
      <c r="C220" s="20">
        <v>2120</v>
      </c>
      <c r="D220" s="21" t="s">
        <v>216</v>
      </c>
      <c r="E220" s="13">
        <f>[2]!Table1[[#This Row],[Qty Entrada]]-[2]!Table1[[#This Row],[Qty Salida]]</f>
        <v>16</v>
      </c>
      <c r="F220" s="2" t="s">
        <v>24</v>
      </c>
      <c r="G220" s="14">
        <f>SUMIF([2]!Table3[Código Institucional],[2]Existencia!C220:C411,[2]!Table3[Cantidad])</f>
        <v>16</v>
      </c>
      <c r="H220" s="14">
        <f>SUMIF([2]!Table2[Código Institucional],[2]Existencia!C220:C411,[2]!Table2[Cantidad])</f>
        <v>0</v>
      </c>
      <c r="I220" s="4">
        <v>280</v>
      </c>
      <c r="J220" s="16">
        <f>I220*18%*E220</f>
        <v>806.4</v>
      </c>
      <c r="K220" s="17">
        <f>E220*I220+J220</f>
        <v>5286.4</v>
      </c>
    </row>
    <row r="221" spans="1:16" x14ac:dyDescent="0.25">
      <c r="A221" s="36"/>
      <c r="B221" s="19"/>
      <c r="C221" s="20">
        <v>2150</v>
      </c>
      <c r="D221" s="21" t="s">
        <v>217</v>
      </c>
      <c r="E221" s="13">
        <f>[2]!Table1[[#This Row],[Qty Entrada]]-[2]!Table1[[#This Row],[Qty Salida]]</f>
        <v>10</v>
      </c>
      <c r="F221" s="2" t="s">
        <v>24</v>
      </c>
      <c r="G221" s="14">
        <f>SUMIF([2]!Table3[Código Institucional],[2]Existencia!C221:C430,[2]!Table3[Cantidad])</f>
        <v>10</v>
      </c>
      <c r="H221" s="14">
        <f>SUMIF([2]!Table2[Código Institucional],[2]Existencia!C221:C430,[2]!Table2[Cantidad])</f>
        <v>0</v>
      </c>
      <c r="I221" s="4">
        <v>186</v>
      </c>
      <c r="J221" s="16">
        <f>I221*18%*E221</f>
        <v>334.79999999999995</v>
      </c>
      <c r="K221" s="17">
        <f>E221*I221+J221</f>
        <v>2194.8000000000002</v>
      </c>
    </row>
    <row r="222" spans="1:16" x14ac:dyDescent="0.25">
      <c r="A222" s="36">
        <v>43698</v>
      </c>
      <c r="B222" s="19">
        <v>44687</v>
      </c>
      <c r="C222" s="11">
        <v>2041</v>
      </c>
      <c r="D222" s="12" t="s">
        <v>218</v>
      </c>
      <c r="E222" s="13">
        <f>[2]!Table1[[#This Row],[Qty Entrada]]-[2]!Table1[[#This Row],[Qty Salida]]</f>
        <v>21</v>
      </c>
      <c r="F222" s="2" t="s">
        <v>24</v>
      </c>
      <c r="G222" s="14">
        <f>SUMIF([2]!Table3[Código Institucional],[2]Existencia!C222:C486,[2]!Table3[Cantidad])</f>
        <v>30</v>
      </c>
      <c r="H222" s="14">
        <f>SUMIF([2]!Table2[Código Institucional],[2]Existencia!C222:C486,[2]!Table2[Cantidad])</f>
        <v>9</v>
      </c>
      <c r="I222" s="4">
        <v>120</v>
      </c>
      <c r="J222" s="16">
        <f t="shared" si="6"/>
        <v>453.59999999999997</v>
      </c>
      <c r="K222" s="17">
        <f t="shared" si="7"/>
        <v>2973.6</v>
      </c>
    </row>
    <row r="223" spans="1:16" x14ac:dyDescent="0.25">
      <c r="A223" s="36"/>
      <c r="B223" s="19"/>
      <c r="C223" s="20">
        <v>2157</v>
      </c>
      <c r="D223" s="21" t="s">
        <v>219</v>
      </c>
      <c r="E223" s="13">
        <f>[2]!Table1[[#This Row],[Qty Entrada]]-[2]!Table1[[#This Row],[Qty Salida]]</f>
        <v>9</v>
      </c>
      <c r="F223" s="2" t="s">
        <v>24</v>
      </c>
      <c r="G223" s="14">
        <f>SUMIF([2]!Table3[Código Institucional],[2]Existencia!C223:C431,[2]!Table3[Cantidad])</f>
        <v>10</v>
      </c>
      <c r="H223" s="14">
        <f>SUMIF([2]!Table2[Código Institucional],[2]Existencia!C223:C431,[2]!Table2[Cantidad])</f>
        <v>1</v>
      </c>
      <c r="I223" s="4">
        <v>270</v>
      </c>
      <c r="J223" s="16">
        <f>I223*18%*E223</f>
        <v>437.40000000000003</v>
      </c>
      <c r="K223" s="17">
        <f>E223*I223+J223</f>
        <v>2867.4</v>
      </c>
    </row>
    <row r="224" spans="1:16" x14ac:dyDescent="0.25">
      <c r="A224" s="35">
        <v>43698</v>
      </c>
      <c r="B224" s="10">
        <v>44687</v>
      </c>
      <c r="C224" s="11">
        <v>2042</v>
      </c>
      <c r="D224" s="12" t="s">
        <v>220</v>
      </c>
      <c r="E224" s="13">
        <f>[2]!Table1[[#This Row],[Qty Entrada]]-[2]!Table1[[#This Row],[Qty Salida]]</f>
        <v>7</v>
      </c>
      <c r="F224" s="2" t="s">
        <v>24</v>
      </c>
      <c r="G224" s="14">
        <f>SUMIF([2]!Table3[Código Institucional],[2]Existencia!C224:C487,[2]!Table3[Cantidad])</f>
        <v>13</v>
      </c>
      <c r="H224" s="14">
        <f>SUMIF([2]!Table2[Código Institucional],[2]Existencia!C224:C487,[2]!Table2[Cantidad])</f>
        <v>6</v>
      </c>
      <c r="I224" s="4">
        <v>95</v>
      </c>
      <c r="J224" s="16">
        <f t="shared" si="6"/>
        <v>119.69999999999999</v>
      </c>
      <c r="K224" s="17">
        <f t="shared" si="7"/>
        <v>784.7</v>
      </c>
    </row>
    <row r="225" spans="1:17" x14ac:dyDescent="0.25">
      <c r="A225" s="36"/>
      <c r="B225" s="19"/>
      <c r="C225" s="20">
        <v>2121</v>
      </c>
      <c r="D225" s="21" t="s">
        <v>221</v>
      </c>
      <c r="E225" s="13">
        <f>[2]!Table1[[#This Row],[Qty Entrada]]-[2]!Table1[[#This Row],[Qty Salida]]</f>
        <v>7</v>
      </c>
      <c r="F225" s="2" t="s">
        <v>24</v>
      </c>
      <c r="G225" s="14">
        <f>SUMIF([2]!Table3[Código Institucional],[2]Existencia!C225:C414,[2]!Table3[Cantidad])</f>
        <v>7</v>
      </c>
      <c r="H225" s="14">
        <f>SUMIF([2]!Table2[Código Institucional],[2]Existencia!C225:C414,[2]!Table2[Cantidad])</f>
        <v>0</v>
      </c>
      <c r="I225" s="4">
        <v>113</v>
      </c>
      <c r="J225" s="16">
        <f>I225*18%*E225</f>
        <v>142.38</v>
      </c>
      <c r="K225" s="17">
        <f>E225*I225+J225</f>
        <v>933.38</v>
      </c>
    </row>
    <row r="226" spans="1:17" x14ac:dyDescent="0.25">
      <c r="A226" s="36"/>
      <c r="B226" s="19"/>
      <c r="C226" s="20">
        <v>2151</v>
      </c>
      <c r="D226" s="21" t="s">
        <v>222</v>
      </c>
      <c r="E226" s="13">
        <f>[2]!Table1[[#This Row],[Qty Entrada]]-[2]!Table1[[#This Row],[Qty Salida]]</f>
        <v>6</v>
      </c>
      <c r="F226" s="2" t="s">
        <v>24</v>
      </c>
      <c r="G226" s="14">
        <f>SUMIF([2]!Table3[Código Institucional],[2]Existencia!C226:C434,[2]!Table3[Cantidad])</f>
        <v>6</v>
      </c>
      <c r="H226" s="14">
        <f>SUMIF([2]!Table2[Código Institucional],[2]Existencia!C226:C434,[2]!Table2[Cantidad])</f>
        <v>0</v>
      </c>
      <c r="I226" s="4">
        <v>133</v>
      </c>
      <c r="J226" s="16">
        <f>I226*18%*E226</f>
        <v>143.63999999999999</v>
      </c>
      <c r="K226" s="17">
        <f>E226*I226+J226</f>
        <v>941.64</v>
      </c>
    </row>
    <row r="227" spans="1:17" x14ac:dyDescent="0.25">
      <c r="A227" s="36"/>
      <c r="B227" s="19"/>
      <c r="C227" s="20">
        <v>2178</v>
      </c>
      <c r="D227" s="21" t="s">
        <v>294</v>
      </c>
      <c r="E227" s="13">
        <f>[2]!Table1[[#This Row],[Qty Entrada]]-[2]!Table1[[#This Row],[Qty Salida]]</f>
        <v>4</v>
      </c>
      <c r="F227" s="2" t="s">
        <v>24</v>
      </c>
      <c r="G227" s="14">
        <f>SUMIF([2]!Table3[Código Institucional],[2]Existencia!C227:C445,[2]!Table3[Cantidad])</f>
        <v>5</v>
      </c>
      <c r="H227" s="14">
        <f>SUMIF([2]!Table2[Código Institucional],[2]Existencia!C227:C445,[2]!Table2[Cantidad])</f>
        <v>1</v>
      </c>
      <c r="I227" s="4">
        <v>350</v>
      </c>
      <c r="J227" s="16">
        <f>I227*18%*E227</f>
        <v>252</v>
      </c>
      <c r="K227" s="17">
        <f>E227*I227+J227</f>
        <v>1652</v>
      </c>
    </row>
    <row r="228" spans="1:17" x14ac:dyDescent="0.25">
      <c r="A228" s="18">
        <v>44687</v>
      </c>
      <c r="B228" s="19">
        <v>44687</v>
      </c>
      <c r="C228" s="11">
        <v>2043</v>
      </c>
      <c r="D228" s="12" t="s">
        <v>223</v>
      </c>
      <c r="E228" s="13">
        <f>[2]!Table1[[#This Row],[Qty Entrada]]-[2]!Table1[[#This Row],[Qty Salida]]</f>
        <v>14</v>
      </c>
      <c r="F228" s="2" t="s">
        <v>116</v>
      </c>
      <c r="G228" s="14">
        <f>SUMIF([2]!Table3[Código Institucional],[2]Existencia!C228:C488,[2]!Table3[Cantidad])</f>
        <v>28</v>
      </c>
      <c r="H228" s="14">
        <f>SUMIF([2]!Table2[Código Institucional],[2]Existencia!C228:C488,[2]!Table2[Cantidad])</f>
        <v>14</v>
      </c>
      <c r="I228" s="4">
        <v>14.3</v>
      </c>
      <c r="J228" s="16">
        <f t="shared" si="6"/>
        <v>36.036000000000001</v>
      </c>
      <c r="K228" s="17">
        <f t="shared" si="7"/>
        <v>236.23600000000002</v>
      </c>
    </row>
    <row r="229" spans="1:17" x14ac:dyDescent="0.25">
      <c r="A229" s="35">
        <v>43698</v>
      </c>
      <c r="B229" s="10">
        <v>44687</v>
      </c>
      <c r="C229" s="11">
        <v>2044</v>
      </c>
      <c r="D229" s="12" t="s">
        <v>224</v>
      </c>
      <c r="E229" s="13">
        <f>[2]!Table1[[#This Row],[Qty Entrada]]-[2]!Table1[[#This Row],[Qty Salida]]</f>
        <v>0</v>
      </c>
      <c r="F229" s="2" t="s">
        <v>116</v>
      </c>
      <c r="G229" s="14">
        <f>SUMIF([2]!Table3[Código Institucional],[2]Existencia!C229:C489,[2]!Table3[Cantidad])</f>
        <v>4</v>
      </c>
      <c r="H229" s="14">
        <f>SUMIF([2]!Table2[Código Institucional],[2]Existencia!C229:C489,[2]!Table2[Cantidad])</f>
        <v>4</v>
      </c>
      <c r="I229" s="4">
        <v>215</v>
      </c>
      <c r="J229" s="16">
        <f t="shared" si="6"/>
        <v>0</v>
      </c>
      <c r="K229" s="17">
        <f t="shared" si="7"/>
        <v>0</v>
      </c>
    </row>
    <row r="230" spans="1:17" x14ac:dyDescent="0.25">
      <c r="A230" s="36">
        <v>43698</v>
      </c>
      <c r="B230" s="19">
        <v>44687</v>
      </c>
      <c r="C230" s="20">
        <v>2046</v>
      </c>
      <c r="D230" s="21" t="s">
        <v>225</v>
      </c>
      <c r="E230" s="13">
        <f>[2]!Table1[[#This Row],[Qty Entrada]]-[2]!Table1[[#This Row],[Qty Salida]]</f>
        <v>-2</v>
      </c>
      <c r="F230" s="2" t="s">
        <v>116</v>
      </c>
      <c r="G230" s="14">
        <f>SUMIF([2]!Table3[Código Institucional],[2]Existencia!C230:C491,[2]!Table3[Cantidad])</f>
        <v>14</v>
      </c>
      <c r="H230" s="14">
        <f>SUMIF([2]!Table2[Código Institucional],[2]Existencia!C230:C491,[2]!Table2[Cantidad])</f>
        <v>16</v>
      </c>
      <c r="I230" s="39">
        <v>53</v>
      </c>
      <c r="J230" s="40">
        <f t="shared" si="6"/>
        <v>-19.079999999999998</v>
      </c>
      <c r="K230" s="17">
        <f t="shared" si="7"/>
        <v>-125.08</v>
      </c>
    </row>
    <row r="231" spans="1:17" x14ac:dyDescent="0.25">
      <c r="A231" s="36"/>
      <c r="B231" s="19"/>
      <c r="C231" s="20">
        <v>2122</v>
      </c>
      <c r="D231" s="21" t="s">
        <v>226</v>
      </c>
      <c r="E231" s="13">
        <f>[2]!Table1[[#This Row],[Qty Entrada]]-[2]!Table1[[#This Row],[Qty Salida]]</f>
        <v>15</v>
      </c>
      <c r="F231" s="2" t="s">
        <v>116</v>
      </c>
      <c r="G231" s="2">
        <f>SUMIF([2]!Table3[Código Institucional],[2]Existencia!C231:C417,[2]!Table3[Cantidad])</f>
        <v>24</v>
      </c>
      <c r="H231" s="2">
        <f>SUMIF([2]!Table2[Código Institucional],[2]Existencia!C231:C417,[2]!Table2[Cantidad])</f>
        <v>9</v>
      </c>
      <c r="I231" s="39">
        <v>102</v>
      </c>
      <c r="J231" s="16">
        <f t="shared" si="6"/>
        <v>275.39999999999998</v>
      </c>
      <c r="K231" s="17">
        <f t="shared" si="7"/>
        <v>1805.4</v>
      </c>
    </row>
    <row r="232" spans="1:17" x14ac:dyDescent="0.25">
      <c r="A232" s="36"/>
      <c r="B232" s="19"/>
      <c r="C232" s="20">
        <v>2154</v>
      </c>
      <c r="D232" s="21" t="s">
        <v>227</v>
      </c>
      <c r="E232" s="13">
        <f>[2]!Table1[[#This Row],[Qty Entrada]]-[2]!Table1[[#This Row],[Qty Salida]]</f>
        <v>25</v>
      </c>
      <c r="F232" s="2" t="s">
        <v>116</v>
      </c>
      <c r="G232" s="2">
        <f>SUMIF([2]!Table3[Código Institucional],[2]Existencia!C232:C436,[2]!Table3[Cantidad])</f>
        <v>25</v>
      </c>
      <c r="H232" s="2">
        <f>SUMIF([2]!Table2[Código Institucional],[2]Existencia!C232:C436,[2]!Table2[Cantidad])</f>
        <v>0</v>
      </c>
      <c r="I232" s="39">
        <v>170</v>
      </c>
      <c r="J232" s="16">
        <f t="shared" si="6"/>
        <v>765</v>
      </c>
      <c r="K232" s="17">
        <f t="shared" si="7"/>
        <v>5015</v>
      </c>
      <c r="N232" s="24"/>
      <c r="O232" s="45"/>
    </row>
    <row r="233" spans="1:17" x14ac:dyDescent="0.25">
      <c r="A233" s="36"/>
      <c r="B233" s="19"/>
      <c r="C233" s="20">
        <v>2114</v>
      </c>
      <c r="D233" s="21" t="s">
        <v>228</v>
      </c>
      <c r="E233" s="13">
        <f>[2]!Table1[[#This Row],[Qty Entrada]]-[2]!Table1[[#This Row],[Qty Salida]]</f>
        <v>8</v>
      </c>
      <c r="F233" s="2" t="s">
        <v>116</v>
      </c>
      <c r="G233" s="2">
        <f>SUMIF([2]!Table3[Código Institucional],[2]Existencia!C233:C417,[2]!Table3[Cantidad])</f>
        <v>8</v>
      </c>
      <c r="H233" s="2">
        <f>SUMIF([2]!Table2[Código Institucional],[2]Existencia!C233:C417,[2]!Table2[Cantidad])</f>
        <v>0</v>
      </c>
      <c r="I233" s="39">
        <v>35</v>
      </c>
      <c r="J233" s="16">
        <f t="shared" si="6"/>
        <v>50.4</v>
      </c>
      <c r="K233" s="17">
        <f t="shared" si="7"/>
        <v>330.4</v>
      </c>
    </row>
    <row r="234" spans="1:17" ht="15" hidden="1" customHeight="1" x14ac:dyDescent="0.25">
      <c r="A234" s="35">
        <v>43698</v>
      </c>
      <c r="B234" s="10">
        <v>44687</v>
      </c>
      <c r="C234" s="20">
        <v>2047</v>
      </c>
      <c r="D234" s="21" t="s">
        <v>229</v>
      </c>
      <c r="E234" s="13">
        <f>[2]!Table1[[#This Row],[Qty Entrada]]-[2]!Table1[[#This Row],[Qty Salida]]</f>
        <v>0</v>
      </c>
      <c r="F234" s="2" t="s">
        <v>116</v>
      </c>
      <c r="G234" s="2">
        <f>SUMIF([2]!Table3[Código Institucional],[2]Existencia!C234:C492,[2]!Table3[Cantidad])</f>
        <v>18</v>
      </c>
      <c r="H234" s="2">
        <f>SUMIF([2]!Table2[Código Institucional],[2]Existencia!C234:C492,[2]!Table2[Cantidad])</f>
        <v>18</v>
      </c>
      <c r="I234" s="39">
        <v>66</v>
      </c>
      <c r="J234" s="41">
        <f t="shared" si="6"/>
        <v>0</v>
      </c>
      <c r="K234" s="17">
        <f t="shared" si="7"/>
        <v>0</v>
      </c>
      <c r="Q234" s="24"/>
    </row>
    <row r="235" spans="1:17" x14ac:dyDescent="0.25">
      <c r="A235" s="36"/>
      <c r="B235" s="19"/>
      <c r="C235" s="20">
        <v>2115</v>
      </c>
      <c r="D235" s="21" t="s">
        <v>230</v>
      </c>
      <c r="E235" s="42">
        <f>[2]!Table1[[#This Row],[Qty Entrada]]-[2]!Table1[[#This Row],[Qty Salida]]</f>
        <v>10</v>
      </c>
      <c r="F235" s="2" t="s">
        <v>116</v>
      </c>
      <c r="G235" s="2">
        <f>SUMIF([2]!Table3[Código Institucional],[2]Existencia!C235:C418,[2]!Table3[Cantidad])</f>
        <v>10</v>
      </c>
      <c r="H235" s="2">
        <f>SUMIF([2]!Table2[Código Institucional],[2]Existencia!C235:C418,[2]!Table2[Cantidad])</f>
        <v>0</v>
      </c>
      <c r="I235" s="39">
        <v>319</v>
      </c>
      <c r="J235" s="43">
        <f t="shared" si="6"/>
        <v>574.19999999999993</v>
      </c>
      <c r="K235" s="17">
        <f t="shared" si="7"/>
        <v>3764.2</v>
      </c>
      <c r="O235" s="38"/>
    </row>
    <row r="236" spans="1:17" x14ac:dyDescent="0.25">
      <c r="A236" s="36"/>
      <c r="B236" s="19"/>
      <c r="C236" s="20">
        <v>2153</v>
      </c>
      <c r="D236" s="21" t="s">
        <v>231</v>
      </c>
      <c r="E236" s="42">
        <f>[2]!Table1[[#This Row],[Qty Entrada]]-[2]!Table1[[#This Row],[Qty Salida]]</f>
        <v>15</v>
      </c>
      <c r="F236" s="2" t="s">
        <v>116</v>
      </c>
      <c r="G236" s="2">
        <f>SUMIF([2]!Table3[Código Institucional],[2]Existencia!C236:C440,[2]!Table3[Cantidad])</f>
        <v>15</v>
      </c>
      <c r="H236" s="2">
        <f>SUMIF([2]!Table2[Código Institucional],[2]Existencia!C236:C440,[2]!Table2[Cantidad])</f>
        <v>0</v>
      </c>
      <c r="I236" s="39">
        <v>260</v>
      </c>
      <c r="J236" s="43">
        <f t="shared" si="6"/>
        <v>702</v>
      </c>
      <c r="K236" s="17">
        <f t="shared" si="7"/>
        <v>4602</v>
      </c>
      <c r="O236" s="38"/>
    </row>
    <row r="237" spans="1:17" x14ac:dyDescent="0.25">
      <c r="A237" s="36">
        <v>43698</v>
      </c>
      <c r="B237" s="19">
        <v>44687</v>
      </c>
      <c r="C237" s="20">
        <v>2048</v>
      </c>
      <c r="D237" s="21" t="s">
        <v>232</v>
      </c>
      <c r="E237" s="2">
        <v>0</v>
      </c>
      <c r="F237" s="2" t="s">
        <v>24</v>
      </c>
      <c r="G237" s="2">
        <f>SUMIF([2]!Table3[Código Institucional],[2]Existencia!C237:C491,[2]!Table3[Cantidad])</f>
        <v>48</v>
      </c>
      <c r="H237" s="2">
        <f>SUMIF([2]!Table2[Código Institucional],[2]Existencia!C237:C491,[2]!Table2[Cantidad])</f>
        <v>66</v>
      </c>
      <c r="I237" s="39">
        <v>27.5</v>
      </c>
      <c r="J237" s="43">
        <f t="shared" si="6"/>
        <v>0</v>
      </c>
      <c r="K237" s="17">
        <f t="shared" si="7"/>
        <v>0</v>
      </c>
      <c r="O237" s="38"/>
    </row>
    <row r="238" spans="1:17" x14ac:dyDescent="0.25">
      <c r="A238" s="36"/>
      <c r="B238" s="19"/>
      <c r="C238" s="20">
        <v>2105</v>
      </c>
      <c r="D238" s="21" t="s">
        <v>233</v>
      </c>
      <c r="E238" s="2">
        <f>[2]!Table1[[#This Row],[Qty Entrada]]-[2]!Table1[[#This Row],[Qty Salida]]</f>
        <v>0</v>
      </c>
      <c r="F238" s="2" t="s">
        <v>24</v>
      </c>
      <c r="G238" s="2">
        <f>SUMIF([2]!Table3[Código Institucional],[2]Existencia!C238:C414,[2]!Table3[Cantidad])</f>
        <v>84</v>
      </c>
      <c r="H238" s="2">
        <f>SUMIF([2]!Table2[Código Institucional],[2]Existencia!C238:C414,[2]!Table2[Cantidad])</f>
        <v>84</v>
      </c>
      <c r="I238" s="39">
        <v>90</v>
      </c>
      <c r="J238" s="43">
        <f>I238*18%*E238</f>
        <v>0</v>
      </c>
      <c r="K238" s="17">
        <f>E238*I238+J238</f>
        <v>0</v>
      </c>
      <c r="N238" s="24"/>
    </row>
    <row r="239" spans="1:17" x14ac:dyDescent="0.25">
      <c r="A239" s="36"/>
      <c r="B239" s="19"/>
      <c r="C239" s="20">
        <v>2159</v>
      </c>
      <c r="D239" s="21" t="s">
        <v>234</v>
      </c>
      <c r="E239" s="2">
        <f>[2]!Table1[[#This Row],[Qty Entrada]]-[2]!Table1[[#This Row],[Qty Salida]]</f>
        <v>96</v>
      </c>
      <c r="F239" s="2" t="s">
        <v>24</v>
      </c>
      <c r="G239" s="2">
        <f>SUMIF([2]!Table3[Código Institucional],[2]Existencia!C239:C446,[2]!Table3[Cantidad])</f>
        <v>96</v>
      </c>
      <c r="H239" s="2">
        <f>SUMIF([2]!Table2[Código Institucional],[2]Existencia!C239:C446,[2]!Table2[Cantidad])</f>
        <v>0</v>
      </c>
      <c r="I239" s="39">
        <v>93</v>
      </c>
      <c r="J239" s="43">
        <f>I239*18%*E239</f>
        <v>1607.04</v>
      </c>
      <c r="K239" s="17">
        <f>E239*I239+J239</f>
        <v>10535.04</v>
      </c>
      <c r="N239" s="24"/>
    </row>
    <row r="240" spans="1:17" x14ac:dyDescent="0.25">
      <c r="A240" s="36"/>
      <c r="B240" s="19"/>
      <c r="C240" s="20">
        <v>2170</v>
      </c>
      <c r="D240" s="21" t="s">
        <v>295</v>
      </c>
      <c r="E240" s="2">
        <f>[2]!Table1[[#This Row],[Qty Entrada]]-[2]!Table1[[#This Row],[Qty Salida]]</f>
        <v>100</v>
      </c>
      <c r="F240" s="2" t="s">
        <v>24</v>
      </c>
      <c r="G240" s="2">
        <f>SUMIF([2]!Table3[Código Institucional],[2]Existencia!C240:C456,[2]!Table3[Cantidad])</f>
        <v>100</v>
      </c>
      <c r="H240" s="2">
        <f>SUMIF([2]!Table2[Código Institucional],[2]Existencia!C240:C456,[2]!Table2[Cantidad])</f>
        <v>0</v>
      </c>
      <c r="I240" s="39">
        <v>64</v>
      </c>
      <c r="J240" s="43">
        <f>I240*18%*E240</f>
        <v>1152</v>
      </c>
      <c r="K240" s="17">
        <f>E240*I240+J240</f>
        <v>7552</v>
      </c>
      <c r="N240" s="24"/>
    </row>
    <row r="241" spans="1:15" x14ac:dyDescent="0.25">
      <c r="A241" s="35">
        <v>43698</v>
      </c>
      <c r="B241" s="10">
        <v>44687</v>
      </c>
      <c r="C241" s="20">
        <v>2050</v>
      </c>
      <c r="D241" s="21" t="s">
        <v>235</v>
      </c>
      <c r="E241" s="2">
        <f>[2]!Table1[[#This Row],[Qty Entrada]]-[2]!Table1[[#This Row],[Qty Salida]]</f>
        <v>5</v>
      </c>
      <c r="F241" s="2" t="s">
        <v>30</v>
      </c>
      <c r="G241" s="2">
        <f>SUMIF([2]!Table3[Código Institucional],[2]Existencia!C241:C453,[2]!Table3[Cantidad])</f>
        <v>5</v>
      </c>
      <c r="H241" s="2">
        <f>SUMIF([2]!Table2[Código Institucional],[2]Existencia!C241:C453,[2]!Table2[Cantidad])</f>
        <v>0</v>
      </c>
      <c r="I241" s="39">
        <v>106</v>
      </c>
      <c r="J241" s="43">
        <f t="shared" ref="J241:J245" si="8">I241*18%*E241</f>
        <v>95.399999999999991</v>
      </c>
      <c r="K241" s="17">
        <f t="shared" ref="K241:K245" si="9">E241*I241+J241</f>
        <v>625.4</v>
      </c>
      <c r="O241" s="38"/>
    </row>
    <row r="242" spans="1:15" x14ac:dyDescent="0.25">
      <c r="A242" s="36"/>
      <c r="B242" s="19"/>
      <c r="C242" s="20">
        <v>2116</v>
      </c>
      <c r="D242" s="21" t="s">
        <v>236</v>
      </c>
      <c r="E242" s="2">
        <f>[2]!Table1[[#This Row],[Qty Entrada]]-[2]!Table1[[#This Row],[Qty Salida]]</f>
        <v>15</v>
      </c>
      <c r="F242" s="2" t="s">
        <v>30</v>
      </c>
      <c r="G242" s="2">
        <f>SUMIF([2]!Table3[Código Institucional],[2]Existencia!C242:C421,[2]!Table3[Cantidad])</f>
        <v>15</v>
      </c>
      <c r="H242" s="2">
        <f>SUMIF([2]!Table2[Código Institucional],[2]Existencia!C242:C421,[2]!Table2[Cantidad])</f>
        <v>0</v>
      </c>
      <c r="I242" s="39">
        <v>89</v>
      </c>
      <c r="J242" s="43">
        <f>I242*18%*E242</f>
        <v>240.29999999999998</v>
      </c>
      <c r="K242" s="17">
        <f>E242*I242+J242</f>
        <v>1575.3</v>
      </c>
      <c r="O242" s="38"/>
    </row>
    <row r="243" spans="1:15" x14ac:dyDescent="0.25">
      <c r="A243" s="36">
        <v>43698</v>
      </c>
      <c r="B243" s="19">
        <v>44687</v>
      </c>
      <c r="C243" s="20">
        <v>2051</v>
      </c>
      <c r="D243" s="21" t="s">
        <v>237</v>
      </c>
      <c r="E243" s="2">
        <f>[2]!Table1[[#This Row],[Qty Entrada]]-[2]!Table1[[#This Row],[Qty Salida]]</f>
        <v>11</v>
      </c>
      <c r="F243" s="2" t="s">
        <v>30</v>
      </c>
      <c r="G243" s="2">
        <f>SUMIF([2]!Table3[Código Institucional],[2]Existencia!C243:C449,[2]!Table3[Cantidad])</f>
        <v>13</v>
      </c>
      <c r="H243" s="2">
        <f>SUMIF([2]!Table2[Código Institucional],[2]Existencia!C243:C449,[2]!Table2[Cantidad])</f>
        <v>2</v>
      </c>
      <c r="I243" s="39">
        <v>35</v>
      </c>
      <c r="J243" s="43">
        <f t="shared" si="8"/>
        <v>69.3</v>
      </c>
      <c r="K243" s="17">
        <f t="shared" si="9"/>
        <v>454.3</v>
      </c>
      <c r="O243" s="38"/>
    </row>
    <row r="244" spans="1:15" x14ac:dyDescent="0.25">
      <c r="A244" s="35">
        <v>43698</v>
      </c>
      <c r="B244" s="10">
        <v>44687</v>
      </c>
      <c r="C244" s="20">
        <v>2052</v>
      </c>
      <c r="D244" s="21" t="s">
        <v>238</v>
      </c>
      <c r="E244" s="2">
        <f>[2]!Table1[[#This Row],[Qty Entrada]]-[2]!Table1[[#This Row],[Qty Salida]]</f>
        <v>0</v>
      </c>
      <c r="F244" s="2" t="s">
        <v>24</v>
      </c>
      <c r="G244" s="2">
        <f>SUMIF([2]!Table3[Código Institucional],[2]Existencia!C244:C449,[2]!Table3[Cantidad])</f>
        <v>1</v>
      </c>
      <c r="H244" s="2">
        <f>SUMIF([2]!Table2[Código Institucional],[2]Existencia!C244:C449,[2]!Table2[Cantidad])</f>
        <v>1</v>
      </c>
      <c r="I244" s="39">
        <v>198</v>
      </c>
      <c r="J244" s="43">
        <f t="shared" si="8"/>
        <v>0</v>
      </c>
      <c r="K244" s="17">
        <f t="shared" si="9"/>
        <v>0</v>
      </c>
      <c r="O244" s="38"/>
    </row>
    <row r="245" spans="1:15" x14ac:dyDescent="0.25">
      <c r="A245" s="36">
        <v>43698</v>
      </c>
      <c r="B245" s="19">
        <v>44687</v>
      </c>
      <c r="C245" s="20">
        <v>2053</v>
      </c>
      <c r="D245" s="21" t="s">
        <v>239</v>
      </c>
      <c r="E245" s="2">
        <f>[2]!Table1[[#This Row],[Qty Entrada]]-[2]!Table1[[#This Row],[Qty Salida]]</f>
        <v>0</v>
      </c>
      <c r="F245" s="2" t="s">
        <v>24</v>
      </c>
      <c r="G245" s="2">
        <f>SUMIF([2]!Table3[Código Institucional],[2]Existencia!C245:C446,[2]!Table3[Cantidad])</f>
        <v>12</v>
      </c>
      <c r="H245" s="2">
        <f>SUMIF([2]!Table2[Código Institucional],[2]Existencia!C245:C446,[2]!Table2[Cantidad])</f>
        <v>12</v>
      </c>
      <c r="I245" s="39">
        <v>299</v>
      </c>
      <c r="J245" s="43">
        <f t="shared" si="8"/>
        <v>0</v>
      </c>
      <c r="K245" s="17">
        <f t="shared" si="9"/>
        <v>0</v>
      </c>
      <c r="O245" s="38"/>
    </row>
    <row r="246" spans="1:15" x14ac:dyDescent="0.25">
      <c r="A246" s="36"/>
      <c r="B246" s="19"/>
      <c r="C246" s="20">
        <v>2108</v>
      </c>
      <c r="D246" s="21" t="s">
        <v>240</v>
      </c>
      <c r="E246" s="2">
        <f>[2]!Table1[[#This Row],[Qty Entrada]]-[2]!Table1[[#This Row],[Qty Salida]]</f>
        <v>7</v>
      </c>
      <c r="F246" s="2" t="s">
        <v>116</v>
      </c>
      <c r="G246" s="2">
        <f>SUMIF([2]!Table3[Código Institucional],[2]Existencia!C246:C420,[2]!Table3[Cantidad])</f>
        <v>20</v>
      </c>
      <c r="H246" s="2">
        <f>SUMIF([2]!Table2[Código Institucional],[2]Existencia!C246:C420,[2]!Table2[Cantidad])</f>
        <v>13</v>
      </c>
      <c r="I246" s="39">
        <v>330</v>
      </c>
      <c r="J246" s="43">
        <f>I246*18%*E246</f>
        <v>415.8</v>
      </c>
      <c r="K246" s="17">
        <f>E246*I246+J246</f>
        <v>2725.8</v>
      </c>
      <c r="O246" s="38"/>
    </row>
    <row r="247" spans="1:15" x14ac:dyDescent="0.25">
      <c r="A247" s="36"/>
      <c r="B247" s="19"/>
      <c r="C247" s="20">
        <v>2142</v>
      </c>
      <c r="D247" s="21" t="s">
        <v>241</v>
      </c>
      <c r="E247" s="2">
        <f>[2]!Table1[[#This Row],[Qty Entrada]]-[2]!Table1[[#This Row],[Qty Salida]]</f>
        <v>40</v>
      </c>
      <c r="F247" s="2" t="s">
        <v>116</v>
      </c>
      <c r="G247" s="2">
        <f>SUMIF([2]!Table3[Código Institucional],[2]Existencia!C247:C443,[2]!Table3[Cantidad])</f>
        <v>40</v>
      </c>
      <c r="H247" s="2">
        <f>SUMIF([2]!Table2[Código Institucional],[2]Existencia!C247:C443,[2]!Table2[Cantidad])</f>
        <v>0</v>
      </c>
      <c r="I247" s="39">
        <v>58</v>
      </c>
      <c r="J247" s="43">
        <f>I247*18%*E247</f>
        <v>417.59999999999997</v>
      </c>
      <c r="K247" s="17">
        <f>E247*I247+J247</f>
        <v>2737.6</v>
      </c>
      <c r="O247" s="38"/>
    </row>
    <row r="248" spans="1:15" x14ac:dyDescent="0.25">
      <c r="A248" s="35">
        <v>43698</v>
      </c>
      <c r="B248" s="10">
        <v>44687</v>
      </c>
      <c r="C248" s="20">
        <v>2054</v>
      </c>
      <c r="D248" s="21" t="s">
        <v>242</v>
      </c>
      <c r="E248" s="2">
        <f>[2]!Table1[[#This Row],[Qty Entrada]]-[2]!Table1[[#This Row],[Qty Salida]]</f>
        <v>0</v>
      </c>
      <c r="F248" s="2" t="s">
        <v>24</v>
      </c>
      <c r="G248" s="2">
        <f>SUMIF([2]!Table3[Código Institucional],[2]Existencia!C248:C425,[2]!Table3[Cantidad])</f>
        <v>5</v>
      </c>
      <c r="H248" s="2">
        <f>SUMIF([2]!Table2[Código Institucional],[2]Existencia!C248:C425,[2]!Table2[Cantidad])</f>
        <v>5</v>
      </c>
      <c r="I248" s="39">
        <v>364</v>
      </c>
      <c r="J248" s="43">
        <f>I248*16%*E248</f>
        <v>0</v>
      </c>
      <c r="K248" s="17">
        <f t="shared" ref="K248:K255" si="10">E248*I248+J248</f>
        <v>0</v>
      </c>
      <c r="O248" s="38"/>
    </row>
    <row r="249" spans="1:15" x14ac:dyDescent="0.25">
      <c r="A249" s="36"/>
      <c r="B249" s="19"/>
      <c r="C249" s="20">
        <v>2099</v>
      </c>
      <c r="D249" s="21" t="s">
        <v>243</v>
      </c>
      <c r="E249" s="2">
        <f>[2]!Table1[[#This Row],[Qty Entrada]]-[2]!Table1[[#This Row],[Qty Salida]]</f>
        <v>0</v>
      </c>
      <c r="F249" s="2" t="s">
        <v>24</v>
      </c>
      <c r="G249" s="2">
        <f>SUMIF([2]!Table3[Código Institucional],[2]Existencia!C249:C415,[2]!Table3[Cantidad])</f>
        <v>8</v>
      </c>
      <c r="H249" s="2">
        <f>SUMIF([2]!Table2[Código Institucional],[2]Existencia!C249:C415,[2]!Table2[Cantidad])</f>
        <v>8</v>
      </c>
      <c r="I249" s="39">
        <v>396</v>
      </c>
      <c r="J249" s="43">
        <f>I249*18%*E249</f>
        <v>0</v>
      </c>
      <c r="K249" s="17">
        <f>E249*I249+J249</f>
        <v>0</v>
      </c>
      <c r="O249" s="38"/>
    </row>
    <row r="250" spans="1:15" x14ac:dyDescent="0.25">
      <c r="A250" s="36"/>
      <c r="B250" s="19"/>
      <c r="C250" s="20">
        <v>2176</v>
      </c>
      <c r="D250" s="21" t="s">
        <v>296</v>
      </c>
      <c r="E250" s="2">
        <f>[2]!Table1[[#This Row],[Qty Entrada]]-[2]!Table1[[#This Row],[Qty Salida]]</f>
        <v>3</v>
      </c>
      <c r="F250" s="2" t="s">
        <v>24</v>
      </c>
      <c r="G250" s="2">
        <f>SUMIF([2]!Table3[Código Institucional],[2]Existencia!C250:C468,[2]!Table3[Cantidad])</f>
        <v>3</v>
      </c>
      <c r="H250" s="2">
        <f>SUMIF([2]!Table2[Código Institucional],[2]Existencia!C250:C468,[2]!Table2[Cantidad])</f>
        <v>0</v>
      </c>
      <c r="I250" s="39">
        <v>395</v>
      </c>
      <c r="J250" s="43">
        <f>I250*18%*E250</f>
        <v>213.29999999999998</v>
      </c>
      <c r="K250" s="17">
        <f>E250*I250+J250</f>
        <v>1398.3</v>
      </c>
      <c r="O250" s="38"/>
    </row>
    <row r="251" spans="1:15" x14ac:dyDescent="0.25">
      <c r="A251" s="36">
        <v>43698</v>
      </c>
      <c r="B251" s="44">
        <v>43731</v>
      </c>
      <c r="C251" s="20">
        <v>2055</v>
      </c>
      <c r="D251" s="21" t="s">
        <v>244</v>
      </c>
      <c r="E251" s="2">
        <f>[2]!Table1[[#This Row],[Qty Entrada]]-[2]!Table1[[#This Row],[Qty Salida]]</f>
        <v>3</v>
      </c>
      <c r="F251" s="2" t="s">
        <v>24</v>
      </c>
      <c r="G251" s="2">
        <f>SUMIF([2]!Table3[Código Institucional],[2]Existencia!C251:C426,[2]!Table3[Cantidad])</f>
        <v>5</v>
      </c>
      <c r="H251" s="2">
        <f>SUMIF([2]!Table2[Código Institucional],[2]Existencia!C251:C426,[2]!Table2[Cantidad])</f>
        <v>2</v>
      </c>
      <c r="I251" s="39">
        <v>518</v>
      </c>
      <c r="J251" s="43">
        <f>I251*16%*E251</f>
        <v>248.64</v>
      </c>
      <c r="K251" s="17">
        <f t="shared" si="10"/>
        <v>1802.6399999999999</v>
      </c>
      <c r="O251" s="38"/>
    </row>
    <row r="252" spans="1:15" x14ac:dyDescent="0.25">
      <c r="A252" s="36"/>
      <c r="B252" s="44"/>
      <c r="C252" s="20">
        <v>2177</v>
      </c>
      <c r="D252" s="21" t="s">
        <v>297</v>
      </c>
      <c r="E252" s="2">
        <f>[2]!Table1[[#This Row],[Qty Entrada]]-[2]!Table1[[#This Row],[Qty Salida]]</f>
        <v>5</v>
      </c>
      <c r="F252" s="2" t="s">
        <v>116</v>
      </c>
      <c r="G252" s="2">
        <f>SUMIF([2]!Table3[Código Institucional],[2]Existencia!C252:C469,[2]!Table3[Cantidad])</f>
        <v>5</v>
      </c>
      <c r="H252" s="2">
        <f>SUMIF([2]!Table2[Código Institucional],[2]Existencia!C252:C469,[2]!Table2[Cantidad])</f>
        <v>0</v>
      </c>
      <c r="I252" s="39">
        <v>495</v>
      </c>
      <c r="J252" s="43">
        <f>I252*18%*E252</f>
        <v>445.5</v>
      </c>
      <c r="K252" s="17">
        <f>E252*I252+J252</f>
        <v>2920.5</v>
      </c>
      <c r="O252" s="38"/>
    </row>
    <row r="253" spans="1:15" x14ac:dyDescent="0.25">
      <c r="A253" s="36">
        <v>43698</v>
      </c>
      <c r="B253" s="22">
        <v>43731</v>
      </c>
      <c r="C253" s="20">
        <v>2056</v>
      </c>
      <c r="D253" s="21" t="s">
        <v>245</v>
      </c>
      <c r="E253" s="2">
        <f>[2]!Table1[[#This Row],[Qty Entrada]]-[2]!Table1[[#This Row],[Qty Salida]]</f>
        <v>1</v>
      </c>
      <c r="F253" s="2" t="s">
        <v>30</v>
      </c>
      <c r="G253" s="2">
        <f>SUMIF([2]!Table3[Código Institucional],[2]Existencia!C253:C426,[2]!Table3[Cantidad])</f>
        <v>1</v>
      </c>
      <c r="H253" s="2">
        <f>SUMIF([2]!Table2[Código Institucional],[2]Existencia!C253:C426,[2]!Table2[Cantidad])</f>
        <v>0</v>
      </c>
      <c r="I253" s="39">
        <v>210</v>
      </c>
      <c r="J253" s="43">
        <f>I253*16%*E253</f>
        <v>33.6</v>
      </c>
      <c r="K253" s="17">
        <f t="shared" si="10"/>
        <v>243.6</v>
      </c>
      <c r="O253" s="38"/>
    </row>
    <row r="254" spans="1:15" x14ac:dyDescent="0.25">
      <c r="A254" s="36">
        <v>43698</v>
      </c>
      <c r="B254" s="19">
        <v>44687</v>
      </c>
      <c r="C254" s="20">
        <v>2057</v>
      </c>
      <c r="D254" s="21" t="s">
        <v>246</v>
      </c>
      <c r="E254" s="2">
        <f>[2]!Table1[[#This Row],[Qty Entrada]]-[2]!Table1[[#This Row],[Qty Salida]]</f>
        <v>0</v>
      </c>
      <c r="F254" s="2" t="s">
        <v>24</v>
      </c>
      <c r="G254" s="2">
        <f>SUMIF([2]!Table3[Código Institucional],[2]Existencia!C254:C426,[2]!Table3[Cantidad])</f>
        <v>12</v>
      </c>
      <c r="H254" s="2">
        <f>SUMIF([2]!Table2[Código Institucional],[2]Existencia!C254:C426,[2]!Table2[Cantidad])</f>
        <v>12</v>
      </c>
      <c r="I254" s="39">
        <v>26</v>
      </c>
      <c r="J254" s="43">
        <f t="shared" ref="J254:J255" si="11">I254*18%*E254</f>
        <v>0</v>
      </c>
      <c r="K254" s="17">
        <f t="shared" si="10"/>
        <v>0</v>
      </c>
      <c r="O254" s="38"/>
    </row>
    <row r="255" spans="1:15" x14ac:dyDescent="0.25">
      <c r="A255" s="36">
        <v>43698</v>
      </c>
      <c r="B255" s="19">
        <v>44687</v>
      </c>
      <c r="C255" s="20">
        <v>2058</v>
      </c>
      <c r="D255" s="21" t="s">
        <v>247</v>
      </c>
      <c r="E255" s="2">
        <f>[2]!Table1[[#This Row],[Qty Entrada]]-[2]!Table1[[#This Row],[Qty Salida]]</f>
        <v>4</v>
      </c>
      <c r="F255" s="2" t="s">
        <v>24</v>
      </c>
      <c r="G255" s="2">
        <f>SUMIF([2]!Table3[Código Institucional],[2]Existencia!C255:C427,[2]!Table3[Cantidad])</f>
        <v>12</v>
      </c>
      <c r="H255" s="2">
        <f>SUMIF([2]!Table2[Código Institucional],[2]Existencia!C255:C427,[2]!Table2[Cantidad])</f>
        <v>8</v>
      </c>
      <c r="I255" s="39">
        <v>235</v>
      </c>
      <c r="J255" s="43">
        <f t="shared" si="11"/>
        <v>169.2</v>
      </c>
      <c r="K255" s="17">
        <f t="shared" si="10"/>
        <v>1109.2</v>
      </c>
      <c r="O255" s="38"/>
    </row>
    <row r="256" spans="1:15" x14ac:dyDescent="0.25">
      <c r="A256" s="36"/>
      <c r="B256" s="19"/>
      <c r="C256" s="20">
        <v>2123</v>
      </c>
      <c r="D256" s="21" t="s">
        <v>248</v>
      </c>
      <c r="E256" s="2">
        <f>[2]!Table1[[#This Row],[Qty Entrada]]-[2]!Table1[[#This Row],[Qty Salida]]</f>
        <v>10</v>
      </c>
      <c r="F256" s="2" t="s">
        <v>24</v>
      </c>
      <c r="G256" s="2">
        <f>SUMIF([2]!Table3[Código Institucional],[2]Existencia!C256:C434,[2]!Table3[Cantidad])</f>
        <v>10</v>
      </c>
      <c r="H256" s="2">
        <f>SUMIF([2]!Table2[Código Institucional],[2]Existencia!C256:C434,[2]!Table2[Cantidad])</f>
        <v>0</v>
      </c>
      <c r="I256" s="39">
        <v>230</v>
      </c>
      <c r="J256" s="43">
        <f>I256*18%*E256</f>
        <v>414</v>
      </c>
      <c r="K256" s="17">
        <f>E256*I256+J256</f>
        <v>2714</v>
      </c>
      <c r="O256" s="38"/>
    </row>
    <row r="257" spans="1:16" x14ac:dyDescent="0.25">
      <c r="A257" s="36"/>
      <c r="B257" s="19"/>
      <c r="C257" s="20">
        <v>2152</v>
      </c>
      <c r="D257" s="21" t="s">
        <v>249</v>
      </c>
      <c r="E257" s="2">
        <f>[2]!Table1[[#This Row],[Qty Entrada]]-[2]!Table1[[#This Row],[Qty Salida]]</f>
        <v>5</v>
      </c>
      <c r="F257" s="2" t="s">
        <v>24</v>
      </c>
      <c r="G257" s="2">
        <f>SUMIF([2]!Table3[Código Institucional],[2]Existencia!C257:C457,[2]!Table3[Cantidad])</f>
        <v>5</v>
      </c>
      <c r="H257" s="2">
        <f>SUMIF([2]!Table2[Código Institucional],[2]Existencia!C257:C457,[2]!Table2[Cantidad])</f>
        <v>0</v>
      </c>
      <c r="I257" s="39">
        <v>250</v>
      </c>
      <c r="J257" s="43">
        <f>I257*18%*E257</f>
        <v>225</v>
      </c>
      <c r="K257" s="17">
        <f>E257*I257+J257</f>
        <v>1475</v>
      </c>
      <c r="O257" s="38"/>
    </row>
    <row r="258" spans="1:16" x14ac:dyDescent="0.25">
      <c r="A258" s="36">
        <v>43698</v>
      </c>
      <c r="B258" s="44">
        <v>43731</v>
      </c>
      <c r="C258" s="20">
        <v>2059</v>
      </c>
      <c r="D258" s="21" t="s">
        <v>250</v>
      </c>
      <c r="E258" s="2">
        <f>[2]!Table1[[#This Row],[Qty Entrada]]-[2]!Table1[[#This Row],[Qty Salida]]</f>
        <v>0</v>
      </c>
      <c r="F258" s="2" t="s">
        <v>160</v>
      </c>
      <c r="G258" s="2">
        <f>SUMIF([2]!Table3[Código Institucional],[2]Existencia!C258:C425,[2]!Table3[Cantidad])</f>
        <v>6</v>
      </c>
      <c r="H258" s="2">
        <f>SUMIF([2]!Table2[Código Institucional],[2]Existencia!C258:C425,[2]!Table2[Cantidad])</f>
        <v>6</v>
      </c>
      <c r="I258" s="39">
        <v>135</v>
      </c>
      <c r="J258" s="43">
        <f t="shared" ref="J258" si="12">I258*18%*E258</f>
        <v>0</v>
      </c>
      <c r="K258" s="17">
        <f t="shared" ref="K258:K285" si="13">E258*I258+J258</f>
        <v>0</v>
      </c>
      <c r="N258" s="24"/>
      <c r="O258" s="38"/>
    </row>
    <row r="259" spans="1:16" x14ac:dyDescent="0.25">
      <c r="A259" s="36"/>
      <c r="B259" s="44"/>
      <c r="C259" s="20">
        <v>2117</v>
      </c>
      <c r="D259" s="21" t="s">
        <v>251</v>
      </c>
      <c r="E259" s="2">
        <f>[2]!Table1[[#This Row],[Qty Entrada]]-[2]!Table1[[#This Row],[Qty Salida]]</f>
        <v>2</v>
      </c>
      <c r="F259" s="2" t="s">
        <v>160</v>
      </c>
      <c r="G259" s="2">
        <f>SUMIF([2]!Table3[Código Institucional],[2]Existencia!C259:C432,[2]!Table3[Cantidad])</f>
        <v>10</v>
      </c>
      <c r="H259" s="2">
        <f>SUMIF([2]!Table2[Código Institucional],[2]Existencia!C259:C432,[2]!Table2[Cantidad])</f>
        <v>8</v>
      </c>
      <c r="I259" s="39">
        <v>150</v>
      </c>
      <c r="J259" s="43">
        <f>I259*18%*E259</f>
        <v>54</v>
      </c>
      <c r="K259" s="17">
        <f t="shared" si="13"/>
        <v>354</v>
      </c>
      <c r="L259" s="47"/>
      <c r="M259" s="47"/>
      <c r="N259" s="48"/>
      <c r="O259" s="49"/>
      <c r="P259" s="47"/>
    </row>
    <row r="260" spans="1:16" x14ac:dyDescent="0.25">
      <c r="A260" s="36"/>
      <c r="B260" s="44"/>
      <c r="C260" s="20">
        <v>2147</v>
      </c>
      <c r="D260" s="21" t="s">
        <v>252</v>
      </c>
      <c r="E260" s="2">
        <f>[2]!Table1[[#This Row],[Qty Entrada]]-[2]!Table1[[#This Row],[Qty Salida]]</f>
        <v>15</v>
      </c>
      <c r="F260" s="2" t="s">
        <v>160</v>
      </c>
      <c r="G260" s="2">
        <f>SUMIF([2]!Table3[Código Institucional],[2]Existencia!C260:C456,[2]!Table3[Cantidad])</f>
        <v>15</v>
      </c>
      <c r="H260" s="2">
        <f>SUMIF([2]!Table2[Código Institucional],[2]Existencia!C260:C456,[2]!Table2[Cantidad])</f>
        <v>0</v>
      </c>
      <c r="I260" s="39">
        <v>95</v>
      </c>
      <c r="J260" s="43">
        <f>I260*18%*E260</f>
        <v>256.49999999999994</v>
      </c>
      <c r="K260" s="17">
        <f>E260*I260+J260</f>
        <v>1681.5</v>
      </c>
      <c r="L260" s="50"/>
      <c r="M260" s="50"/>
      <c r="N260" s="51">
        <f>556376.73-'[1]SALIDA JUNIO 2023'!$L$48</f>
        <v>531318.647</v>
      </c>
      <c r="O260" s="49"/>
      <c r="P260" s="47"/>
    </row>
    <row r="261" spans="1:16" x14ac:dyDescent="0.25">
      <c r="A261" s="36"/>
      <c r="B261" s="44"/>
      <c r="C261" s="20">
        <v>2173</v>
      </c>
      <c r="D261" s="21" t="s">
        <v>298</v>
      </c>
      <c r="E261" s="2">
        <f>[2]!Table1[[#This Row],[Qty Entrada]]-[2]!Table1[[#This Row],[Qty Salida]]</f>
        <v>5</v>
      </c>
      <c r="F261" s="2" t="s">
        <v>160</v>
      </c>
      <c r="G261" s="2">
        <f>SUMIF([2]!Table3[Código Institucional],[2]Existencia!C261:C476,[2]!Table3[Cantidad])</f>
        <v>5</v>
      </c>
      <c r="H261" s="2">
        <f>SUMIF([2]!Table2[Código Institucional],[2]Existencia!C261:C476,[2]!Table2[Cantidad])</f>
        <v>0</v>
      </c>
      <c r="I261" s="39">
        <v>110</v>
      </c>
      <c r="J261" s="43">
        <f>I261*18%*E261</f>
        <v>99</v>
      </c>
      <c r="K261" s="17">
        <f>E261*I261+J261</f>
        <v>649</v>
      </c>
      <c r="L261" s="50"/>
      <c r="M261" s="50"/>
      <c r="N261" s="51"/>
      <c r="O261" s="49"/>
      <c r="P261" s="47"/>
    </row>
    <row r="262" spans="1:16" x14ac:dyDescent="0.25">
      <c r="A262" s="36" t="s">
        <v>253</v>
      </c>
      <c r="B262" s="19"/>
      <c r="C262" s="20">
        <v>2061</v>
      </c>
      <c r="D262" s="46" t="s">
        <v>254</v>
      </c>
      <c r="E262" s="2">
        <f>[2]!Table1[[#This Row],[Qty Entrada]]-[2]!Table1[[#This Row],[Qty Salida]]</f>
        <v>6</v>
      </c>
      <c r="F262" s="2" t="s">
        <v>24</v>
      </c>
      <c r="G262" s="2">
        <f>SUMIF([2]!Table3[Código Institucional],[2]Existencia!C262:C424,[2]!Table3[Cantidad])</f>
        <v>6</v>
      </c>
      <c r="H262" s="2">
        <f>SUMIF([2]!Table2[Código Institucional],[2]Existencia!C262:C424,[2]!Table2[Cantidad])</f>
        <v>0</v>
      </c>
      <c r="I262" s="39">
        <v>380</v>
      </c>
      <c r="J262" s="43">
        <f>I262*18%*E262</f>
        <v>410.4</v>
      </c>
      <c r="K262" s="17">
        <f t="shared" si="13"/>
        <v>2690.4</v>
      </c>
      <c r="L262" s="50"/>
      <c r="M262" s="50"/>
      <c r="N262" s="51"/>
      <c r="O262" s="47"/>
      <c r="P262" s="47"/>
    </row>
    <row r="263" spans="1:16" x14ac:dyDescent="0.25">
      <c r="A263" s="36"/>
      <c r="B263" s="19"/>
      <c r="C263" s="20">
        <v>2076</v>
      </c>
      <c r="D263" s="21" t="s">
        <v>255</v>
      </c>
      <c r="E263" s="2">
        <f>[2]!Table1[[#This Row],[Qty Entrada]]-[2]!Table1[[#This Row],[Qty Salida]]</f>
        <v>0</v>
      </c>
      <c r="F263" s="2" t="s">
        <v>24</v>
      </c>
      <c r="G263" s="2">
        <f>SUMIF([2]!Table3[Código Institucional],[2]Existencia!C263:C434,[2]!Table3[Cantidad])</f>
        <v>40</v>
      </c>
      <c r="H263" s="2">
        <f>SUMIF([2]!Table2[Código Institucional],[2]Existencia!C263:C434,[2]!Table2[Cantidad])</f>
        <v>40</v>
      </c>
      <c r="I263" s="39">
        <v>510</v>
      </c>
      <c r="J263" s="43">
        <f>I263*18%*E263</f>
        <v>0</v>
      </c>
      <c r="K263" s="17">
        <f t="shared" si="13"/>
        <v>0</v>
      </c>
      <c r="L263" s="50"/>
      <c r="M263" s="51">
        <f>+Table1[[#Totals],[Valores RD$]]-'[1]SALIDA JUNIO 2023'!$L$48</f>
        <v>-25058.083000000006</v>
      </c>
      <c r="N263" s="51"/>
      <c r="O263" s="48"/>
      <c r="P263" s="47"/>
    </row>
    <row r="264" spans="1:16" x14ac:dyDescent="0.25">
      <c r="A264" s="36"/>
      <c r="B264" s="19"/>
      <c r="C264" s="20">
        <v>2077</v>
      </c>
      <c r="D264" s="21" t="s">
        <v>256</v>
      </c>
      <c r="E264" s="2">
        <f>[2]!Table1[[#This Row],[Qty Entrada]]-[2]!Table1[[#This Row],[Qty Salida]]</f>
        <v>0</v>
      </c>
      <c r="F264" s="2" t="s">
        <v>24</v>
      </c>
      <c r="G264" s="2">
        <f>SUMIF([2]!Table3[Código Institucional],[2]Existencia!C264:C435,[2]!Table3[Cantidad])</f>
        <v>200</v>
      </c>
      <c r="H264" s="2">
        <f>SUMIF([2]!Table2[Código Institucional],[2]Existencia!C264:C435,[2]!Table2[Cantidad])</f>
        <v>200</v>
      </c>
      <c r="I264" s="39">
        <v>85</v>
      </c>
      <c r="J264" s="43">
        <v>0</v>
      </c>
      <c r="K264" s="17">
        <f t="shared" si="13"/>
        <v>0</v>
      </c>
      <c r="L264" s="51"/>
      <c r="M264" s="54">
        <v>531318.65</v>
      </c>
      <c r="N264" s="51"/>
      <c r="O264" s="47"/>
      <c r="P264" s="47"/>
    </row>
    <row r="265" spans="1:16" x14ac:dyDescent="0.25">
      <c r="A265" s="36"/>
      <c r="B265" s="19"/>
      <c r="C265" s="20">
        <v>2078</v>
      </c>
      <c r="D265" s="21" t="s">
        <v>257</v>
      </c>
      <c r="E265" s="2">
        <f>[2]!Table1[[#This Row],[Qty Entrada]]-[2]!Table1[[#This Row],[Qty Salida]]</f>
        <v>0</v>
      </c>
      <c r="F265" s="2" t="s">
        <v>24</v>
      </c>
      <c r="G265" s="2">
        <f>SUMIF([2]!Table3[Código Institucional],[2]Existencia!C265:C435,[2]!Table3[Cantidad])</f>
        <v>80</v>
      </c>
      <c r="H265" s="2">
        <f>SUMIF([2]!Table2[Código Institucional],[2]Existencia!C265:C435,[2]!Table2[Cantidad])</f>
        <v>80</v>
      </c>
      <c r="I265" s="39">
        <v>7.25</v>
      </c>
      <c r="J265" s="43">
        <v>0</v>
      </c>
      <c r="K265" s="17">
        <f t="shared" si="13"/>
        <v>0</v>
      </c>
      <c r="L265" s="50"/>
      <c r="M265" s="50"/>
      <c r="N265" s="51">
        <f>463811.18-'[1]SALIDA MARZO 2023'!$L$45</f>
        <v>444436.9816</v>
      </c>
      <c r="O265" s="47"/>
      <c r="P265" s="47"/>
    </row>
    <row r="266" spans="1:16" x14ac:dyDescent="0.25">
      <c r="A266" s="36"/>
      <c r="B266" s="19"/>
      <c r="C266" s="20">
        <v>2079</v>
      </c>
      <c r="D266" s="21" t="s">
        <v>258</v>
      </c>
      <c r="E266" s="2">
        <f>[2]!Table1[[#This Row],[Qty Entrada]]-[2]!Table1[[#This Row],[Qty Salida]]</f>
        <v>0</v>
      </c>
      <c r="F266" s="2" t="s">
        <v>24</v>
      </c>
      <c r="G266" s="2">
        <f>SUMIF([2]!Table3[Código Institucional],[2]Existencia!C266:C434,[2]!Table3[Cantidad])</f>
        <v>80</v>
      </c>
      <c r="H266" s="2">
        <f>SUMIF([2]!Table2[Código Institucional],[2]Existencia!C266:C434,[2]!Table2[Cantidad])</f>
        <v>80</v>
      </c>
      <c r="I266" s="39">
        <v>7.95</v>
      </c>
      <c r="J266" s="43">
        <f>I266*18%*E266</f>
        <v>0</v>
      </c>
      <c r="K266" s="17">
        <f t="shared" si="13"/>
        <v>0</v>
      </c>
      <c r="L266" s="50">
        <v>443013.89</v>
      </c>
      <c r="M266" s="50"/>
      <c r="N266" s="51">
        <f>+Table1[[#Totals],[Valores RD$]]-N265</f>
        <v>-444436.9816</v>
      </c>
      <c r="O266" s="47"/>
      <c r="P266" s="47"/>
    </row>
    <row r="267" spans="1:16" x14ac:dyDescent="0.25">
      <c r="A267" s="36"/>
      <c r="B267" s="19"/>
      <c r="C267" s="20">
        <v>2080</v>
      </c>
      <c r="D267" s="21" t="s">
        <v>259</v>
      </c>
      <c r="E267" s="2">
        <f>[2]!Table1[[#This Row],[Qty Entrada]]-[2]!Table1[[#This Row],[Qty Salida]]</f>
        <v>0</v>
      </c>
      <c r="F267" s="2" t="s">
        <v>24</v>
      </c>
      <c r="G267" s="2">
        <f>SUMIF([2]!Table3[Código Institucional],[2]Existencia!C267:C435,[2]!Table3[Cantidad])</f>
        <v>40</v>
      </c>
      <c r="H267" s="2">
        <f>SUMIF([2]!Table2[Código Institucional],[2]Existencia!C267:C435,[2]!Table2[Cantidad])</f>
        <v>40</v>
      </c>
      <c r="I267" s="39">
        <v>35</v>
      </c>
      <c r="J267" s="43">
        <f>I267*18%*E267</f>
        <v>0</v>
      </c>
      <c r="K267" s="17">
        <f t="shared" si="13"/>
        <v>0</v>
      </c>
      <c r="L267" s="51">
        <f>+L266-Table1[[#Totals],[Valores RD$]]</f>
        <v>443013.89</v>
      </c>
      <c r="M267" s="50"/>
      <c r="N267" s="51"/>
      <c r="O267" s="47"/>
      <c r="P267" s="47"/>
    </row>
    <row r="268" spans="1:16" x14ac:dyDescent="0.25">
      <c r="A268" s="36"/>
      <c r="B268" s="19"/>
      <c r="C268" s="20">
        <v>2081</v>
      </c>
      <c r="D268" s="21" t="s">
        <v>260</v>
      </c>
      <c r="E268" s="2">
        <f>[2]!Table1[[#This Row],[Qty Entrada]]-[2]!Table1[[#This Row],[Qty Salida]]</f>
        <v>0</v>
      </c>
      <c r="F268" s="2" t="s">
        <v>24</v>
      </c>
      <c r="G268" s="2">
        <f>SUMIF([2]!Table3[Código Institucional],[2]Existencia!C268:C436,[2]!Table3[Cantidad])</f>
        <v>40</v>
      </c>
      <c r="H268" s="2">
        <f>SUMIF([2]!Table2[Código Institucional],[2]Existencia!C268:C436,[2]!Table2[Cantidad])</f>
        <v>40</v>
      </c>
      <c r="I268" s="39">
        <v>125</v>
      </c>
      <c r="J268" s="43">
        <v>0</v>
      </c>
      <c r="K268" s="17">
        <f t="shared" si="13"/>
        <v>0</v>
      </c>
      <c r="L268" s="51">
        <f>+L267+L272</f>
        <v>18029.061999999976</v>
      </c>
      <c r="M268" s="51"/>
      <c r="N268" s="50">
        <v>442848.69</v>
      </c>
      <c r="O268" s="47"/>
      <c r="P268" s="47"/>
    </row>
    <row r="269" spans="1:16" x14ac:dyDescent="0.25">
      <c r="A269" s="36"/>
      <c r="B269" s="19"/>
      <c r="C269" s="20">
        <v>2082</v>
      </c>
      <c r="D269" s="21" t="s">
        <v>261</v>
      </c>
      <c r="E269" s="2">
        <f>[2]!Table1[[#This Row],[Qty Entrada]]-[2]!Table1[[#This Row],[Qty Salida]]</f>
        <v>0</v>
      </c>
      <c r="F269" s="2" t="s">
        <v>24</v>
      </c>
      <c r="G269" s="2">
        <f>SUMIF([2]!Table3[Código Institucional],[2]Existencia!C269:C435,[2]!Table3[Cantidad])</f>
        <v>80</v>
      </c>
      <c r="H269" s="2">
        <f>SUMIF([2]!Table2[Código Institucional],[2]Existencia!C269:C435,[2]!Table2[Cantidad])</f>
        <v>80</v>
      </c>
      <c r="I269" s="39">
        <v>4.0999999999999996</v>
      </c>
      <c r="J269" s="43">
        <f>I269*18%*E269</f>
        <v>0</v>
      </c>
      <c r="K269" s="17">
        <f t="shared" si="13"/>
        <v>0</v>
      </c>
      <c r="L269" s="50"/>
      <c r="M269" s="50" t="s">
        <v>276</v>
      </c>
      <c r="N269" s="51">
        <f>1509-85.94</f>
        <v>1423.06</v>
      </c>
      <c r="O269" s="47"/>
      <c r="P269" s="47"/>
    </row>
    <row r="270" spans="1:16" x14ac:dyDescent="0.25">
      <c r="A270" s="36"/>
      <c r="B270" s="19"/>
      <c r="C270" s="20">
        <v>2083</v>
      </c>
      <c r="D270" s="21" t="s">
        <v>262</v>
      </c>
      <c r="E270" s="2">
        <f>[2]!Table1[[#This Row],[Qty Entrada]]-[2]!Table1[[#This Row],[Qty Salida]]</f>
        <v>0</v>
      </c>
      <c r="F270" s="2" t="s">
        <v>24</v>
      </c>
      <c r="G270" s="2">
        <f>SUMIF([2]!Table3[Código Institucional],[2]Existencia!C270:C435,[2]!Table3[Cantidad])</f>
        <v>40</v>
      </c>
      <c r="H270" s="2">
        <f>SUMIF([2]!Table2[Código Institucional],[2]Existencia!C270:C435,[2]!Table2[Cantidad])</f>
        <v>40</v>
      </c>
      <c r="I270" s="39">
        <v>85</v>
      </c>
      <c r="J270" s="43">
        <f>I270*18%*E270</f>
        <v>0</v>
      </c>
      <c r="K270" s="17">
        <f t="shared" si="13"/>
        <v>0</v>
      </c>
      <c r="L270" s="50"/>
      <c r="M270" s="50"/>
      <c r="N270" s="50"/>
      <c r="O270" s="47"/>
      <c r="P270" s="47"/>
    </row>
    <row r="271" spans="1:16" x14ac:dyDescent="0.25">
      <c r="A271" s="36"/>
      <c r="B271" s="19"/>
      <c r="C271" s="20">
        <v>2084</v>
      </c>
      <c r="D271" s="21" t="s">
        <v>263</v>
      </c>
      <c r="E271" s="2">
        <f>[2]!Table1[[#This Row],[Qty Entrada]]-[2]!Table1[[#This Row],[Qty Salida]]</f>
        <v>0</v>
      </c>
      <c r="F271" s="2" t="s">
        <v>24</v>
      </c>
      <c r="G271" s="2">
        <f>SUMIF([2]!Table3[Código Institucional],[2]Existencia!C271:C435,[2]!Table3[Cantidad])</f>
        <v>40</v>
      </c>
      <c r="H271" s="2">
        <f>SUMIF([2]!Table2[Código Institucional],[2]Existencia!C271:C435,[2]!Table2[Cantidad])</f>
        <v>40</v>
      </c>
      <c r="I271" s="39">
        <v>120</v>
      </c>
      <c r="J271" s="43">
        <f>I271*18%*E271</f>
        <v>0</v>
      </c>
      <c r="K271" s="17">
        <f t="shared" si="13"/>
        <v>0</v>
      </c>
      <c r="L271" s="51">
        <f>+L266-'[1]SALIDA ABRIL 2023'!$L$54</f>
        <v>424984.82800000004</v>
      </c>
      <c r="M271" s="50"/>
      <c r="N271" s="50"/>
      <c r="O271" s="47"/>
      <c r="P271" s="47"/>
    </row>
    <row r="272" spans="1:16" x14ac:dyDescent="0.25">
      <c r="A272" s="36"/>
      <c r="B272" s="19"/>
      <c r="C272" s="20">
        <v>2085</v>
      </c>
      <c r="D272" s="21" t="s">
        <v>264</v>
      </c>
      <c r="E272" s="2">
        <f>[2]!Table1[[#This Row],[Qty Entrada]]-[2]!Table1[[#This Row],[Qty Salida]]</f>
        <v>0</v>
      </c>
      <c r="F272" s="2" t="s">
        <v>24</v>
      </c>
      <c r="G272" s="2">
        <f>SUMIF([2]!Table3[Código Institucional],[2]Existencia!C272:C435,[2]!Table3[Cantidad])</f>
        <v>40</v>
      </c>
      <c r="H272" s="2">
        <f>SUMIF([2]!Table2[Código Institucional],[2]Existencia!C272:C435,[2]!Table2[Cantidad])</f>
        <v>40</v>
      </c>
      <c r="I272" s="39">
        <v>110</v>
      </c>
      <c r="J272" s="43">
        <v>0</v>
      </c>
      <c r="K272" s="17">
        <f t="shared" si="13"/>
        <v>0</v>
      </c>
      <c r="L272" s="51">
        <f>+Table1[[#Totals],[Valores RD$]]-L271</f>
        <v>-424984.82800000004</v>
      </c>
      <c r="M272" s="50"/>
      <c r="N272" s="50"/>
      <c r="O272" s="47"/>
      <c r="P272" s="47"/>
    </row>
    <row r="273" spans="1:17" x14ac:dyDescent="0.25">
      <c r="A273" s="36"/>
      <c r="B273" s="19"/>
      <c r="C273" s="20">
        <v>2086</v>
      </c>
      <c r="D273" s="21" t="s">
        <v>265</v>
      </c>
      <c r="E273" s="2">
        <f>[2]!Table1[[#This Row],[Qty Entrada]]-[2]!Table1[[#This Row],[Qty Salida]]</f>
        <v>0</v>
      </c>
      <c r="F273" s="2" t="s">
        <v>24</v>
      </c>
      <c r="G273" s="2">
        <f>SUMIF([2]!Table3[Código Institucional],[2]Existencia!C273:C435,[2]!Table3[Cantidad])</f>
        <v>80</v>
      </c>
      <c r="H273" s="2">
        <f>SUMIF([2]!Table2[Código Institucional],[2]Existencia!C273:C435,[2]!Table2[Cantidad])</f>
        <v>80</v>
      </c>
      <c r="I273" s="39">
        <v>35</v>
      </c>
      <c r="J273" s="43">
        <f>I273*18%*E273</f>
        <v>0</v>
      </c>
      <c r="K273" s="17">
        <f t="shared" si="13"/>
        <v>0</v>
      </c>
      <c r="O273" s="47"/>
      <c r="P273" s="47"/>
      <c r="Q273" s="56">
        <v>443013.89</v>
      </c>
    </row>
    <row r="274" spans="1:17" x14ac:dyDescent="0.25">
      <c r="A274" s="36"/>
      <c r="B274" s="19"/>
      <c r="C274" s="20">
        <v>2087</v>
      </c>
      <c r="D274" s="21" t="s">
        <v>266</v>
      </c>
      <c r="E274" s="2">
        <f>[2]!Table1[[#This Row],[Qty Entrada]]-[2]!Table1[[#This Row],[Qty Salida]]</f>
        <v>0</v>
      </c>
      <c r="F274" s="2" t="s">
        <v>24</v>
      </c>
      <c r="G274" s="2">
        <f>SUMIF([2]!Table3[Código Institucional],[2]Existencia!C274:C433,[2]!Table3[Cantidad])</f>
        <v>80</v>
      </c>
      <c r="H274" s="2">
        <f>SUMIF([2]!Table2[Código Institucional],[2]Existencia!C274:C433,[2]!Table2[Cantidad])</f>
        <v>80</v>
      </c>
      <c r="I274" s="39">
        <v>28</v>
      </c>
      <c r="J274" s="43">
        <f>I274*18%*E274</f>
        <v>0</v>
      </c>
      <c r="K274" s="17">
        <f t="shared" si="13"/>
        <v>0</v>
      </c>
      <c r="O274" s="47"/>
      <c r="P274" s="47"/>
      <c r="Q274" s="50"/>
    </row>
    <row r="275" spans="1:17" x14ac:dyDescent="0.25">
      <c r="A275" s="36"/>
      <c r="B275" s="19"/>
      <c r="C275" s="20">
        <v>2088</v>
      </c>
      <c r="D275" s="21" t="s">
        <v>267</v>
      </c>
      <c r="E275" s="2">
        <f>[2]!Table1[[#This Row],[Qty Entrada]]-[2]!Table1[[#This Row],[Qty Salida]]</f>
        <v>0</v>
      </c>
      <c r="F275" s="2" t="s">
        <v>24</v>
      </c>
      <c r="G275" s="2">
        <f>SUMIF([2]!Table3[Código Institucional],[2]Existencia!C275:C433,[2]!Table3[Cantidad])</f>
        <v>80</v>
      </c>
      <c r="H275" s="2">
        <f>SUMIF([2]!Table2[Código Institucional],[2]Existencia!C275:C433,[2]!Table2[Cantidad])</f>
        <v>80</v>
      </c>
      <c r="I275" s="39">
        <v>7.08</v>
      </c>
      <c r="J275" s="43">
        <v>0</v>
      </c>
      <c r="K275" s="17">
        <f t="shared" si="13"/>
        <v>0</v>
      </c>
      <c r="O275" s="47"/>
      <c r="P275" s="47"/>
      <c r="Q275" s="57">
        <f>+Table1[[#Totals],[Valores RD$]]-Q273</f>
        <v>-443013.89</v>
      </c>
    </row>
    <row r="276" spans="1:17" x14ac:dyDescent="0.25">
      <c r="A276" s="36"/>
      <c r="B276" s="19"/>
      <c r="C276" s="20">
        <v>2089</v>
      </c>
      <c r="D276" s="21" t="s">
        <v>268</v>
      </c>
      <c r="E276" s="2">
        <f>[2]!Table1[[#This Row],[Qty Entrada]]-[2]!Table1[[#This Row],[Qty Salida]]</f>
        <v>0</v>
      </c>
      <c r="F276" s="2" t="s">
        <v>24</v>
      </c>
      <c r="G276" s="2">
        <f>SUMIF([2]!Table3[Código Institucional],[2]Existencia!C276:C434,[2]!Table3[Cantidad])</f>
        <v>80</v>
      </c>
      <c r="H276" s="2">
        <f>SUMIF([2]!Table2[Código Institucional],[2]Existencia!C276:C434,[2]!Table2[Cantidad])</f>
        <v>80</v>
      </c>
      <c r="I276" s="39">
        <v>30</v>
      </c>
      <c r="J276" s="43">
        <v>0</v>
      </c>
      <c r="K276" s="17">
        <f t="shared" si="13"/>
        <v>0</v>
      </c>
      <c r="O276" s="47"/>
      <c r="P276" s="47"/>
    </row>
    <row r="277" spans="1:17" x14ac:dyDescent="0.25">
      <c r="A277" s="36"/>
      <c r="B277" s="19"/>
      <c r="C277" s="20">
        <v>2090</v>
      </c>
      <c r="D277" s="21" t="s">
        <v>269</v>
      </c>
      <c r="E277" s="2">
        <f>[2]!Table1[[#This Row],[Qty Entrada]]-[2]!Table1[[#This Row],[Qty Salida]]</f>
        <v>0</v>
      </c>
      <c r="F277" s="2" t="s">
        <v>24</v>
      </c>
      <c r="G277" s="2">
        <f>SUMIF([2]!Table3[Código Institucional],[2]Existencia!C277:C435,[2]!Table3[Cantidad])</f>
        <v>60</v>
      </c>
      <c r="H277" s="2">
        <f>SUMIF([2]!Table2[Código Institucional],[2]Existencia!C277:C435,[2]!Table2[Cantidad])</f>
        <v>60</v>
      </c>
      <c r="I277" s="39">
        <v>16</v>
      </c>
      <c r="J277" s="43">
        <f>I277*18%*E277</f>
        <v>0</v>
      </c>
      <c r="K277" s="17">
        <f t="shared" si="13"/>
        <v>0</v>
      </c>
      <c r="O277" s="47"/>
      <c r="P277" s="47"/>
    </row>
    <row r="278" spans="1:17" x14ac:dyDescent="0.25">
      <c r="A278" s="36"/>
      <c r="B278" s="19"/>
      <c r="C278" s="20">
        <v>2091</v>
      </c>
      <c r="D278" s="21" t="s">
        <v>270</v>
      </c>
      <c r="E278" s="2">
        <f>[2]!Table1[[#This Row],[Qty Entrada]]-[2]!Table1[[#This Row],[Qty Salida]]</f>
        <v>0</v>
      </c>
      <c r="F278" s="2" t="s">
        <v>24</v>
      </c>
      <c r="G278" s="2">
        <f>SUMIF([2]!Table3[Código Institucional],[2]Existencia!C278:C436,[2]!Table3[Cantidad])</f>
        <v>160</v>
      </c>
      <c r="H278" s="2">
        <f>SUMIF([2]!Table2[Código Institucional],[2]Existencia!C278:C436,[2]!Table2[Cantidad])</f>
        <v>160</v>
      </c>
      <c r="I278" s="39">
        <v>12</v>
      </c>
      <c r="J278" s="43">
        <f>I278*18%*E278</f>
        <v>0</v>
      </c>
      <c r="K278" s="17">
        <f t="shared" si="13"/>
        <v>0</v>
      </c>
      <c r="L278" s="47"/>
      <c r="M278" s="47"/>
      <c r="N278" s="47"/>
      <c r="O278" s="47"/>
      <c r="P278" s="47"/>
    </row>
    <row r="279" spans="1:17" x14ac:dyDescent="0.25">
      <c r="A279" s="36"/>
      <c r="B279" s="19"/>
      <c r="C279" s="20">
        <v>2092</v>
      </c>
      <c r="D279" s="21" t="s">
        <v>271</v>
      </c>
      <c r="E279" s="2">
        <f>[2]!Table1[[#This Row],[Qty Entrada]]-[2]!Table1[[#This Row],[Qty Salida]]</f>
        <v>0</v>
      </c>
      <c r="F279" s="2" t="s">
        <v>24</v>
      </c>
      <c r="G279" s="2">
        <f>SUMIF([2]!Table3[Código Institucional],[2]Existencia!C279:C435,[2]!Table3[Cantidad])</f>
        <v>40</v>
      </c>
      <c r="H279" s="2">
        <f>SUMIF([2]!Table2[Código Institucional],[2]Existencia!C279:C435,[2]!Table2[Cantidad])</f>
        <v>40</v>
      </c>
      <c r="I279" s="39">
        <v>125</v>
      </c>
      <c r="J279" s="43">
        <f>I279*18%*E279</f>
        <v>0</v>
      </c>
      <c r="K279" s="17">
        <f t="shared" si="13"/>
        <v>0</v>
      </c>
      <c r="L279" s="47"/>
      <c r="M279" s="47"/>
      <c r="N279" s="47"/>
      <c r="O279" s="47"/>
      <c r="P279" s="47"/>
    </row>
    <row r="280" spans="1:17" x14ac:dyDescent="0.25">
      <c r="A280" s="36"/>
      <c r="B280" s="19"/>
      <c r="C280" s="20">
        <v>2093</v>
      </c>
      <c r="D280" s="21" t="s">
        <v>272</v>
      </c>
      <c r="E280" s="2">
        <f>[2]!Table1[[#This Row],[Qty Entrada]]-[2]!Table1[[#This Row],[Qty Salida]]</f>
        <v>0</v>
      </c>
      <c r="F280" s="2" t="s">
        <v>24</v>
      </c>
      <c r="G280" s="2">
        <f>SUMIF([2]!Table3[Código Institucional],[2]Existencia!C280:C436,[2]!Table3[Cantidad])</f>
        <v>40</v>
      </c>
      <c r="H280" s="2">
        <f>SUMIF([2]!Table2[Código Institucional],[2]Existencia!C280:C436,[2]!Table2[Cantidad])</f>
        <v>40</v>
      </c>
      <c r="I280" s="39">
        <v>110</v>
      </c>
      <c r="J280" s="43">
        <f>I280*18%*E280</f>
        <v>0</v>
      </c>
      <c r="K280" s="17">
        <f t="shared" si="13"/>
        <v>0</v>
      </c>
    </row>
    <row r="281" spans="1:17" x14ac:dyDescent="0.25">
      <c r="A281" s="36"/>
      <c r="B281" s="19"/>
      <c r="C281" s="20">
        <v>2094</v>
      </c>
      <c r="D281" s="21" t="s">
        <v>273</v>
      </c>
      <c r="E281" s="2">
        <f>[2]!Table1[[#This Row],[Qty Entrada]]-[2]!Table1[[#This Row],[Qty Salida]]</f>
        <v>0</v>
      </c>
      <c r="F281" s="2" t="s">
        <v>24</v>
      </c>
      <c r="G281" s="2">
        <f>SUMIF([2]!Table3[Código Institucional],[2]Existencia!C281:C437,[2]!Table3[Cantidad])</f>
        <v>20</v>
      </c>
      <c r="H281" s="2">
        <f>SUMIF([2]!Table2[Código Institucional],[2]Existencia!C281:C437,[2]!Table2[Cantidad])</f>
        <v>20</v>
      </c>
      <c r="I281" s="39">
        <v>16</v>
      </c>
      <c r="J281" s="43">
        <f>I281*18%*E281</f>
        <v>0</v>
      </c>
      <c r="K281" s="17">
        <f t="shared" si="13"/>
        <v>0</v>
      </c>
    </row>
    <row r="282" spans="1:17" x14ac:dyDescent="0.25">
      <c r="A282" s="36"/>
      <c r="B282" s="19"/>
      <c r="C282" s="20">
        <v>2095</v>
      </c>
      <c r="D282" s="21" t="s">
        <v>274</v>
      </c>
      <c r="E282" s="2">
        <f>[2]!Table1[[#This Row],[Qty Entrada]]-[2]!Table1[[#This Row],[Qty Salida]]</f>
        <v>0</v>
      </c>
      <c r="F282" s="2" t="s">
        <v>24</v>
      </c>
      <c r="G282" s="2">
        <f>SUMIF([2]!Table3[Código Institucional],[2]Existencia!C282:C438,[2]!Table3[Cantidad])</f>
        <v>12</v>
      </c>
      <c r="H282" s="2">
        <f>SUMIF([2]!Table2[Código Institucional],[2]Existencia!C282:C438,[2]!Table2[Cantidad])</f>
        <v>12</v>
      </c>
      <c r="I282" s="39">
        <v>195</v>
      </c>
      <c r="J282" s="43">
        <v>0</v>
      </c>
      <c r="K282" s="17">
        <f t="shared" si="13"/>
        <v>0</v>
      </c>
    </row>
    <row r="283" spans="1:17" x14ac:dyDescent="0.25">
      <c r="A283" s="36"/>
      <c r="B283" s="19"/>
      <c r="C283" s="20">
        <v>2179</v>
      </c>
      <c r="D283" s="21" t="s">
        <v>299</v>
      </c>
      <c r="E283" s="2">
        <f>[2]!Table1[[#This Row],[Qty Entrada]]-[2]!Table1[[#This Row],[Qty Salida]]</f>
        <v>2</v>
      </c>
      <c r="F283" s="2" t="s">
        <v>160</v>
      </c>
      <c r="G283" s="2">
        <f>SUMIF([2]!Table3[Código Institucional],[2]Existencia!C283:C500,[2]!Table3[Cantidad])</f>
        <v>2</v>
      </c>
      <c r="H283" s="2">
        <f>SUMIF([2]!Table2[Código Institucional],[2]Existencia!C283:C500,[2]!Table2[Cantidad])</f>
        <v>0</v>
      </c>
      <c r="I283" s="39">
        <v>195</v>
      </c>
      <c r="J283" s="43">
        <f>I283*18%*E283</f>
        <v>70.2</v>
      </c>
      <c r="K283" s="17">
        <f>E283*I283+J283</f>
        <v>460.2</v>
      </c>
    </row>
    <row r="284" spans="1:17" x14ac:dyDescent="0.25">
      <c r="A284" s="36"/>
      <c r="B284" s="19"/>
      <c r="C284" s="20">
        <v>2186</v>
      </c>
      <c r="D284" s="21" t="s">
        <v>300</v>
      </c>
      <c r="E284" s="2">
        <f>[2]!Table1[[#This Row],[Qty Entrada]]-[2]!Table1[[#This Row],[Qty Salida]]</f>
        <v>1</v>
      </c>
      <c r="F284" s="2" t="s">
        <v>15</v>
      </c>
      <c r="G284" s="2">
        <f>SUMIF([2]!Table3[Código Institucional],[2]Existencia!C284:C506,[2]!Table3[Cantidad])</f>
        <v>1</v>
      </c>
      <c r="H284" s="2">
        <f>SUMIF([2]!Table2[Código Institucional],[2]Existencia!C284:C506,[2]!Table2[Cantidad])</f>
        <v>0</v>
      </c>
      <c r="I284" s="39">
        <v>925</v>
      </c>
      <c r="J284" s="43">
        <f>I284*18%*E284</f>
        <v>166.5</v>
      </c>
      <c r="K284" s="17">
        <f>E284*I284+J284</f>
        <v>1091.5</v>
      </c>
    </row>
    <row r="285" spans="1:17" x14ac:dyDescent="0.25">
      <c r="A285" s="36"/>
      <c r="B285" s="44"/>
      <c r="C285" s="20">
        <v>2124</v>
      </c>
      <c r="D285" s="21" t="s">
        <v>275</v>
      </c>
      <c r="E285" s="2">
        <f>[2]!Table1[[#This Row],[Qty Entrada]]-[2]!Table1[[#This Row],[Qty Salida]]</f>
        <v>4</v>
      </c>
      <c r="F285" s="2" t="s">
        <v>160</v>
      </c>
      <c r="G285" s="2">
        <f>SUMIF([2]!Table3[Código Institucional],[2]Existencia!C285:C439,[2]!Table3[Cantidad])</f>
        <v>6</v>
      </c>
      <c r="H285" s="2">
        <f>SUMIF([2]!Table2[Código Institucional],[2]Existencia!C285:C439,[2]!Table2[Cantidad])</f>
        <v>2</v>
      </c>
      <c r="I285" s="39">
        <v>198</v>
      </c>
      <c r="J285" s="43">
        <f>I285*18%*E285</f>
        <v>142.56</v>
      </c>
      <c r="K285" s="17">
        <f t="shared" si="13"/>
        <v>934.56</v>
      </c>
    </row>
    <row r="286" spans="1:17" x14ac:dyDescent="0.25">
      <c r="C286" s="20"/>
      <c r="D286" s="21"/>
      <c r="I286" s="17"/>
      <c r="J286" s="41">
        <f>SUM(J7:J285)</f>
        <v>73588.253199999992</v>
      </c>
      <c r="K286" s="17">
        <f>SUBTOTAL(109,[2]!Table1[Valores RD$])</f>
        <v>519131.63319999987</v>
      </c>
    </row>
    <row r="287" spans="1:17" x14ac:dyDescent="0.25">
      <c r="C287" s="20"/>
      <c r="D287" s="21"/>
      <c r="I287" s="17"/>
      <c r="J287" s="41"/>
      <c r="K287" s="17"/>
    </row>
    <row r="288" spans="1:17" x14ac:dyDescent="0.25">
      <c r="A288" s="61"/>
      <c r="B288" s="61"/>
      <c r="C288" s="61"/>
      <c r="D288" s="61"/>
      <c r="I288" s="52"/>
      <c r="J288" s="55">
        <f>578363.7-'[1]SALIDA MAYO 2023'!$L$49</f>
        <v>556302.68799999997</v>
      </c>
      <c r="K288" s="55">
        <f>+Table1[[#Totals],[Valores RD$]]-531250.21</f>
        <v>-531250.21</v>
      </c>
    </row>
    <row r="289" spans="9:11" x14ac:dyDescent="0.25">
      <c r="I289" s="52"/>
      <c r="J289" s="55">
        <f>+J288-Table1[[#Totals],[Valores RD$]]</f>
        <v>556302.68799999997</v>
      </c>
      <c r="K289" s="55">
        <f>531318.65-Table1[[#Totals],[Valores RD$]]</f>
        <v>531318.65</v>
      </c>
    </row>
    <row r="290" spans="9:11" x14ac:dyDescent="0.25">
      <c r="I290" s="52"/>
      <c r="J290" s="53">
        <v>556295.13</v>
      </c>
      <c r="K290" s="53"/>
    </row>
    <row r="291" spans="9:11" x14ac:dyDescent="0.25">
      <c r="I291" s="52"/>
      <c r="J291" s="53"/>
      <c r="K291" s="53"/>
    </row>
    <row r="292" spans="9:11" x14ac:dyDescent="0.25">
      <c r="I292" s="52"/>
      <c r="J292" s="53">
        <f>+Table1[[#Totals],[Valores RD$]]-J290</f>
        <v>-556295.13</v>
      </c>
      <c r="K292" s="53"/>
    </row>
    <row r="293" spans="9:11" x14ac:dyDescent="0.25">
      <c r="I293" s="52"/>
      <c r="J293" s="53"/>
      <c r="K293" s="53"/>
    </row>
    <row r="294" spans="9:11" x14ac:dyDescent="0.25">
      <c r="I294" s="52"/>
      <c r="J294" s="53"/>
      <c r="K294" s="53"/>
    </row>
    <row r="295" spans="9:11" x14ac:dyDescent="0.25">
      <c r="I295" s="52"/>
      <c r="J295" s="53"/>
      <c r="K295" s="53"/>
    </row>
    <row r="296" spans="9:11" x14ac:dyDescent="0.25">
      <c r="I296" s="52"/>
    </row>
    <row r="297" spans="9:11" x14ac:dyDescent="0.25">
      <c r="I297" s="52"/>
    </row>
  </sheetData>
  <mergeCells count="5">
    <mergeCell ref="A1:I1"/>
    <mergeCell ref="A2:K2"/>
    <mergeCell ref="A3:K3"/>
    <mergeCell ref="A4:K4"/>
    <mergeCell ref="A288:D288"/>
  </mergeCells>
  <conditionalFormatting sqref="C6:K6">
    <cfRule type="duplicateValues" dxfId="23" priority="1"/>
  </conditionalFormatting>
  <dataValidations count="1">
    <dataValidation type="list" allowBlank="1" showInputMessage="1" showErrorMessage="1" sqref="F7:F285" xr:uid="{0BEB0266-5C97-47E4-80C4-909819731319}">
      <formula1>"Caja,Fardo,Frasco,Funda,Galón,Paquete,Resma,Unidad,Yarda"</formula1>
    </dataValidation>
  </dataValidations>
  <pageMargins left="0.25" right="0.25" top="0.75" bottom="0.75" header="0.3" footer="0.3"/>
  <pageSetup scale="69" fitToHeight="0" orientation="portrait" r:id="rId1"/>
  <colBreaks count="1" manualBreakCount="1">
    <brk id="11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Existencia</vt:lpstr>
      <vt:lpstr>Existencia!Print_Area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2023-07-17T15:20:45Z</cp:lastPrinted>
  <dcterms:created xsi:type="dcterms:W3CDTF">2023-07-17T15:14:19Z</dcterms:created>
  <dcterms:modified xsi:type="dcterms:W3CDTF">2023-10-17T18:00:37Z</dcterms:modified>
</cp:coreProperties>
</file>